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3600" windowHeight="15400" activeTab="2"/>
  </bookViews>
  <sheets>
    <sheet name="2017 (12 Pagas)" sheetId="1" r:id="rId1"/>
    <sheet name="2017 (14 Pagas)" sheetId="2" r:id="rId2"/>
    <sheet name="Ayuda" sheetId="3" r:id="rId3"/>
  </sheets>
  <definedNames/>
  <calcPr fullCalcOnLoad="1"/>
</workbook>
</file>

<file path=xl/sharedStrings.xml><?xml version="1.0" encoding="utf-8"?>
<sst xmlns="http://schemas.openxmlformats.org/spreadsheetml/2006/main" count="201" uniqueCount="102">
  <si>
    <t>TOTAL</t>
  </si>
  <si>
    <t>SEGURIDAD SOCIAL</t>
  </si>
  <si>
    <t>TOTAL DEDUCCIONES</t>
  </si>
  <si>
    <t>BASE IRPF</t>
  </si>
  <si>
    <t>de</t>
  </si>
  <si>
    <t>a</t>
  </si>
  <si>
    <t>TIPO IRPF</t>
  </si>
  <si>
    <t>TIPO TOTAL</t>
  </si>
  <si>
    <t>TOTAL ANUAL NETO</t>
  </si>
  <si>
    <t>TOTAL BRUTO</t>
  </si>
  <si>
    <t>MINIMO PERSONAL</t>
  </si>
  <si>
    <t>DESCENDIENTES</t>
  </si>
  <si>
    <t>ASCENDIENTES</t>
  </si>
  <si>
    <t>RETENCION 1</t>
  </si>
  <si>
    <t>RETENCION 2</t>
  </si>
  <si>
    <t>TABLA TRAMOS IRPF</t>
  </si>
  <si>
    <t>SALARIO BRUTO</t>
  </si>
  <si>
    <r>
      <t xml:space="preserve">1 - Introducir tus ingresos brutos y netos provenientes de tu </t>
    </r>
    <r>
      <rPr>
        <b/>
        <sz val="10"/>
        <rFont val="Arial"/>
        <family val="2"/>
      </rPr>
      <t>salario</t>
    </r>
    <r>
      <rPr>
        <sz val="10"/>
        <rFont val="Arial"/>
        <family val="0"/>
      </rPr>
      <t xml:space="preserve"> y </t>
    </r>
    <r>
      <rPr>
        <b/>
        <sz val="10"/>
        <rFont val="Arial"/>
        <family val="2"/>
      </rPr>
      <t>remuneraciones</t>
    </r>
    <r>
      <rPr>
        <sz val="10"/>
        <rFont val="Arial"/>
        <family val="0"/>
      </rPr>
      <t xml:space="preserve"> con deber de tributar</t>
    </r>
  </si>
  <si>
    <t>OTROS INGRESOS</t>
  </si>
  <si>
    <t>OTROS INGRESOS (1)</t>
  </si>
  <si>
    <t>RETENCIÓN IRPF</t>
  </si>
  <si>
    <t>MENSUALIDAD NETA</t>
  </si>
  <si>
    <r>
      <t>Nota 1:</t>
    </r>
    <r>
      <rPr>
        <sz val="10"/>
        <rFont val="Arial"/>
        <family val="0"/>
      </rPr>
      <t xml:space="preserve"> En "Otros Ingresos" incluir el total de remuneraciones especiales, que se suelen recibir en momentos puntuales durante el año, con obligación de tributar (pluses, variables, … etc)</t>
    </r>
  </si>
  <si>
    <t>RTOS TRABAJO</t>
  </si>
  <si>
    <t>OTROS</t>
  </si>
  <si>
    <t>No</t>
  </si>
  <si>
    <t>3 o más hijos</t>
  </si>
  <si>
    <t>MÍNIMO PERSONAL</t>
  </si>
  <si>
    <t>Edad</t>
  </si>
  <si>
    <t>años</t>
  </si>
  <si>
    <t>hijos</t>
  </si>
  <si>
    <t>ascendientes</t>
  </si>
  <si>
    <t>Hijos solteros &lt;25 años e ingresos anuales &lt;8000 euros que convivan con el contribuyente</t>
  </si>
  <si>
    <t xml:space="preserve">De los anteriores indicar el número de hijos &lt;3 años </t>
  </si>
  <si>
    <t>Ascendientes &gt;65 años pero &lt;75 años con ingresos anuales &lt;8000 euros que convivan con el contribuyente (al menos 6 meses)</t>
  </si>
  <si>
    <t>Ascendientes &gt;75 años con ingresos anuales &lt;8000 euros que convivan con el contribuyente (al menos 6 meses)</t>
  </si>
  <si>
    <t>Ascendientes &lt;65 años con ingresos anuales &lt;8000 euros y minusvalía que convivan con el contribuyente (al menos 6 meses)</t>
  </si>
  <si>
    <t>ASCENDIENTES (2)</t>
  </si>
  <si>
    <t xml:space="preserve">Número de descendientes con grado de minusvalía &gt;=33% y &lt;65% </t>
  </si>
  <si>
    <t>Número de descendientes con grado de minusvalía &gt;=65%</t>
  </si>
  <si>
    <t xml:space="preserve">Número de ascendientes con grado de minusvalía &gt;=33% y &lt;65% </t>
  </si>
  <si>
    <t>Número de ascendientes con grado de minusvalía &gt;=65%</t>
  </si>
  <si>
    <t>descendientes</t>
  </si>
  <si>
    <t>MINUSVALÍAS (4)</t>
  </si>
  <si>
    <t>MINUSVALÍAS</t>
  </si>
  <si>
    <t>Esta hoja contempla la mayoria de casos y las situaciones familiares más comunes, para casos particulares dirigirse a la Agencia Tributaria.</t>
  </si>
  <si>
    <r>
      <t>2 - Rellenar las casillas que correspondan según tu situación personal (pinchar en la pestaña "</t>
    </r>
    <r>
      <rPr>
        <b/>
        <sz val="10"/>
        <rFont val="Arial"/>
        <family val="2"/>
      </rPr>
      <t>Ayuda</t>
    </r>
    <r>
      <rPr>
        <sz val="10"/>
        <rFont val="Arial"/>
        <family val="0"/>
      </rPr>
      <t>")</t>
    </r>
  </si>
  <si>
    <t>MINIMO FAMILIAR</t>
  </si>
  <si>
    <t>TIPO SS (2)</t>
  </si>
  <si>
    <t>LIBRE DE TRIBUTACIÓN (3)</t>
  </si>
  <si>
    <r>
      <t>Nota 3:</t>
    </r>
    <r>
      <rPr>
        <sz val="10"/>
        <rFont val="Arial"/>
        <family val="0"/>
      </rPr>
      <t xml:space="preserve"> En esta casilla se deben incluir el total de las remuneraciones anuales que se reciban libres de tributación (cheques comida, dietas, planes de pensiones, ….)</t>
    </r>
  </si>
  <si>
    <t>Derechos en "exclusiva" sobre los descendientes (1)</t>
  </si>
  <si>
    <r>
      <t>Nota 1:</t>
    </r>
    <r>
      <rPr>
        <sz val="10"/>
        <rFont val="Arial"/>
        <family val="0"/>
      </rPr>
      <t xml:space="preserve"> Derechos en "exclusiva" se refiere a cuando es el contribuyente el único que se desgrava por el hijo.</t>
    </r>
  </si>
  <si>
    <r>
      <t>Nota 2:</t>
    </r>
    <r>
      <rPr>
        <sz val="10"/>
        <rFont val="Arial"/>
        <family val="0"/>
      </rPr>
      <t xml:space="preserve"> Son considerados ascendientes los padres, los abuelos, y el resto de ascendientes en linea directa del contribuyente</t>
    </r>
  </si>
  <si>
    <t>Hijos &gt;=25 años con minusvalía  e ingresos anuales &lt;8000 euros que convivan con el contribuyente</t>
  </si>
  <si>
    <r>
      <t>Nota 3:</t>
    </r>
    <r>
      <rPr>
        <sz val="10"/>
        <rFont val="Arial"/>
        <family val="0"/>
      </rPr>
      <t xml:space="preserve"> La desgravación se prorratea en el caso de que el ascendiente, aun conviviendo más de 6 meses, no habite el año completo con el contribuyente</t>
    </r>
  </si>
  <si>
    <r>
      <t>Nota 4:</t>
    </r>
    <r>
      <rPr>
        <sz val="10"/>
        <rFont val="Arial"/>
        <family val="0"/>
      </rPr>
      <t xml:space="preserve"> Solo se aplica a los descendientes y/o ascendientes que convivan con el contribuyente y que tengan unos ingresos anuales menores de 8000 euros</t>
    </r>
  </si>
  <si>
    <t>Nº HIJOS</t>
  </si>
  <si>
    <t>2 o más</t>
  </si>
  <si>
    <t>Soltero, Viudos, Divorciado o Separado</t>
  </si>
  <si>
    <t>-</t>
  </si>
  <si>
    <t>Otros (Solteros sin hijos, cónyuge &gt; 1500 euros)</t>
  </si>
  <si>
    <t>Con cónyuge (ingresos de este &lt; 1500 euros año)</t>
  </si>
  <si>
    <t>SITUACION FAMILIAR</t>
  </si>
  <si>
    <t>PAGAS EXTRAS</t>
  </si>
  <si>
    <t>BASES SEGURIDAD SOCIAL</t>
  </si>
  <si>
    <t>MÁXIMO</t>
  </si>
  <si>
    <t>MÍNIMO</t>
  </si>
  <si>
    <t>Ingenieros y Licenciados</t>
  </si>
  <si>
    <t>Ingenieros Técnicos, Peritos y Ayudantes Titulados</t>
  </si>
  <si>
    <t>Jefes Administrativos y de taller</t>
  </si>
  <si>
    <t>Ayudantes no Titulados</t>
  </si>
  <si>
    <t>Oficiales Administrativos</t>
  </si>
  <si>
    <t>Subalternos</t>
  </si>
  <si>
    <t>Auxiliares Administrativos</t>
  </si>
  <si>
    <t>Euros/mes</t>
  </si>
  <si>
    <t>CONTINGENCIAS</t>
  </si>
  <si>
    <t>F.P</t>
  </si>
  <si>
    <t>DESEMPLEO</t>
  </si>
  <si>
    <t>COTIZACIONES SEGURIDAD SOCIAL</t>
  </si>
  <si>
    <r>
      <t>Nota 2:</t>
    </r>
    <r>
      <rPr>
        <sz val="10"/>
        <rFont val="Arial"/>
        <family val="0"/>
      </rPr>
      <t xml:space="preserve"> Porcentaje correspondiente a la suma de los tipos pagados por; </t>
    </r>
    <r>
      <rPr>
        <b/>
        <sz val="10"/>
        <rFont val="Arial"/>
        <family val="2"/>
      </rPr>
      <t>Contingencias Comunes, Desempleo, FP,</t>
    </r>
    <r>
      <rPr>
        <sz val="10"/>
        <rFont val="Arial"/>
        <family val="0"/>
      </rPr>
      <t xml:space="preserve"> … (tipo más común = 6,35%, ver tabla "Cotizaciones Seguridad Social")</t>
    </r>
  </si>
  <si>
    <t>INTRODUCIR SEGÚN LA CATEGORÍA PROFESIONAL EL VALOR MIN. Y MAX. DE BASES DE LA S.S CORRESPONDIENTE</t>
  </si>
  <si>
    <t>Retención</t>
  </si>
  <si>
    <r>
      <t xml:space="preserve">1 - Rellenar "exclusivamente" las casillas en </t>
    </r>
    <r>
      <rPr>
        <b/>
        <sz val="10"/>
        <color indexed="10"/>
        <rFont val="Arial"/>
        <family val="2"/>
      </rPr>
      <t>rojo</t>
    </r>
    <r>
      <rPr>
        <sz val="10"/>
        <rFont val="Arial"/>
        <family val="0"/>
      </rPr>
      <t xml:space="preserve"> que apliquen</t>
    </r>
  </si>
  <si>
    <t>Número de contribuyentes que se aplican esta deducción sobre este descendiente (3)</t>
  </si>
  <si>
    <t>Pensionistas o Clases Pasivas</t>
  </si>
  <si>
    <t>Trabajador con Minusvalía &gt;=33% y &lt;65%</t>
  </si>
  <si>
    <t>Trabajador con Minúsvalía &gt;65%</t>
  </si>
  <si>
    <t>Percibe Prestacion o Subsidio por Desempleo</t>
  </si>
  <si>
    <r>
      <t xml:space="preserve">4 - En la tabla </t>
    </r>
    <r>
      <rPr>
        <b/>
        <sz val="10"/>
        <rFont val="Arial"/>
        <family val="2"/>
      </rPr>
      <t>"</t>
    </r>
    <r>
      <rPr>
        <b/>
        <i/>
        <sz val="10"/>
        <rFont val="Arial"/>
        <family val="2"/>
      </rPr>
      <t>SITUACIÓN FAMILIAR</t>
    </r>
    <r>
      <rPr>
        <b/>
        <sz val="10"/>
        <rFont val="Arial"/>
        <family val="2"/>
      </rPr>
      <t>"</t>
    </r>
    <r>
      <rPr>
        <sz val="10"/>
        <rFont val="Arial"/>
        <family val="0"/>
      </rPr>
      <t xml:space="preserve"> están los </t>
    </r>
    <r>
      <rPr>
        <i/>
        <sz val="10"/>
        <rFont val="Arial"/>
        <family val="2"/>
      </rPr>
      <t>límites de salario bruto total</t>
    </r>
    <r>
      <rPr>
        <sz val="10"/>
        <rFont val="Arial"/>
        <family val="0"/>
      </rPr>
      <t xml:space="preserve"> a partir de lo cual se retiene el IRPF. Si tu salario "</t>
    </r>
    <r>
      <rPr>
        <b/>
        <sz val="10"/>
        <rFont val="Arial"/>
        <family val="2"/>
      </rPr>
      <t>TOTAL BRUTO</t>
    </r>
    <r>
      <rPr>
        <sz val="10"/>
        <rFont val="Arial"/>
        <family val="0"/>
      </rPr>
      <t>" es menor al correspondiente a tu situación familiar te corresponde la devolución de las cantidades pagadas de IRPF (</t>
    </r>
    <r>
      <rPr>
        <b/>
        <i/>
        <sz val="10"/>
        <rFont val="Arial"/>
        <family val="2"/>
      </rPr>
      <t>RETENCIÓN IRPF</t>
    </r>
    <r>
      <rPr>
        <sz val="10"/>
        <rFont val="Arial"/>
        <family val="0"/>
      </rPr>
      <t>)</t>
    </r>
  </si>
  <si>
    <r>
      <rPr>
        <b/>
        <i/>
        <u val="single"/>
        <sz val="16"/>
        <rFont val="Arial"/>
        <family val="2"/>
      </rPr>
      <t>INSTRUCCIONES</t>
    </r>
    <r>
      <rPr>
        <sz val="10"/>
        <rFont val="Arial"/>
        <family val="0"/>
      </rPr>
      <t xml:space="preserve"> (en </t>
    </r>
    <r>
      <rPr>
        <b/>
        <sz val="10"/>
        <color indexed="10"/>
        <rFont val="Arial"/>
        <family val="2"/>
      </rPr>
      <t>rojo</t>
    </r>
    <r>
      <rPr>
        <sz val="10"/>
        <rFont val="Arial"/>
        <family val="0"/>
      </rPr>
      <t xml:space="preserve"> datos de entrada / en </t>
    </r>
    <r>
      <rPr>
        <b/>
        <sz val="10"/>
        <color indexed="48"/>
        <rFont val="Arial"/>
        <family val="2"/>
      </rPr>
      <t>azul</t>
    </r>
    <r>
      <rPr>
        <sz val="10"/>
        <rFont val="Arial"/>
        <family val="0"/>
      </rPr>
      <t xml:space="preserve"> datos de salida)</t>
    </r>
  </si>
  <si>
    <r>
      <t xml:space="preserve">3 - Obtendrá el </t>
    </r>
    <r>
      <rPr>
        <b/>
        <sz val="10"/>
        <rFont val="Arial"/>
        <family val="2"/>
      </rPr>
      <t>TIPO TOTAL</t>
    </r>
    <r>
      <rPr>
        <sz val="10"/>
        <rFont val="Arial"/>
        <family val="0"/>
      </rPr>
      <t xml:space="preserve"> y el </t>
    </r>
    <r>
      <rPr>
        <b/>
        <i/>
        <sz val="10"/>
        <rFont val="Arial"/>
        <family val="2"/>
      </rPr>
      <t>TIPO IRPF</t>
    </r>
    <r>
      <rPr>
        <sz val="10"/>
        <rFont val="Arial"/>
        <family val="0"/>
      </rPr>
      <t xml:space="preserve"> que te aplica, el </t>
    </r>
    <r>
      <rPr>
        <b/>
        <sz val="10"/>
        <rFont val="Arial"/>
        <family val="2"/>
      </rPr>
      <t>salario mensual neto</t>
    </r>
    <r>
      <rPr>
        <sz val="10"/>
        <rFont val="Arial"/>
        <family val="0"/>
      </rPr>
      <t xml:space="preserve"> (12 meses) y el </t>
    </r>
    <r>
      <rPr>
        <b/>
        <sz val="10"/>
        <rFont val="Arial"/>
        <family val="2"/>
      </rPr>
      <t>salario anual neto.</t>
    </r>
  </si>
  <si>
    <r>
      <t xml:space="preserve">5 - Basandosé en la tabla </t>
    </r>
    <r>
      <rPr>
        <b/>
        <sz val="10"/>
        <rFont val="Arial"/>
        <family val="2"/>
      </rPr>
      <t>"</t>
    </r>
    <r>
      <rPr>
        <b/>
        <i/>
        <sz val="10"/>
        <rFont val="Arial"/>
        <family val="2"/>
      </rPr>
      <t>BASES SEGURIDAD SOCIAL</t>
    </r>
    <r>
      <rPr>
        <b/>
        <sz val="10"/>
        <rFont val="Arial"/>
        <family val="2"/>
      </rPr>
      <t>"</t>
    </r>
    <r>
      <rPr>
        <sz val="10"/>
        <rFont val="Arial"/>
        <family val="0"/>
      </rPr>
      <t xml:space="preserve"> introducir los valores max. y min. correspondientes y los valores de los porcentajes de </t>
    </r>
    <r>
      <rPr>
        <b/>
        <sz val="10"/>
        <rFont val="Arial"/>
        <family val="2"/>
      </rPr>
      <t>cotización a la seguridad social por los diferentes conceptos,</t>
    </r>
    <r>
      <rPr>
        <sz val="10"/>
        <rFont val="Arial"/>
        <family val="0"/>
      </rPr>
      <t xml:space="preserve"> si procede, en las tablas al efecto (los valores a cambiar si es necesario están en </t>
    </r>
    <r>
      <rPr>
        <b/>
        <sz val="10"/>
        <color indexed="10"/>
        <rFont val="Arial"/>
        <family val="2"/>
      </rPr>
      <t>rojo</t>
    </r>
    <r>
      <rPr>
        <sz val="10"/>
        <rFont val="Arial"/>
        <family val="0"/>
      </rPr>
      <t>)</t>
    </r>
  </si>
  <si>
    <r>
      <t xml:space="preserve">3 - Obtendrá el </t>
    </r>
    <r>
      <rPr>
        <b/>
        <sz val="10"/>
        <rFont val="Arial"/>
        <family val="2"/>
      </rPr>
      <t>TIPO TOTAL</t>
    </r>
    <r>
      <rPr>
        <sz val="10"/>
        <rFont val="Arial"/>
        <family val="0"/>
      </rPr>
      <t xml:space="preserve"> y el </t>
    </r>
    <r>
      <rPr>
        <b/>
        <i/>
        <sz val="10"/>
        <rFont val="Arial"/>
        <family val="2"/>
      </rPr>
      <t>TIPO IRPF</t>
    </r>
    <r>
      <rPr>
        <sz val="10"/>
        <rFont val="Arial"/>
        <family val="0"/>
      </rPr>
      <t xml:space="preserve"> que te aplica, el </t>
    </r>
    <r>
      <rPr>
        <b/>
        <sz val="10"/>
        <rFont val="Arial"/>
        <family val="2"/>
      </rPr>
      <t>salario mensual neto</t>
    </r>
    <r>
      <rPr>
        <sz val="10"/>
        <rFont val="Arial"/>
        <family val="0"/>
      </rPr>
      <t xml:space="preserve"> (12 meses) y el valor de las 2 pagas extras además del salario anual neto.</t>
    </r>
  </si>
  <si>
    <r>
      <t>2 - Una vez rellenas las casillas necesarias regresar a la hoja principal (pinchar en la pestaña "</t>
    </r>
    <r>
      <rPr>
        <b/>
        <sz val="10"/>
        <rFont val="Arial"/>
        <family val="2"/>
      </rPr>
      <t>2017</t>
    </r>
    <r>
      <rPr>
        <sz val="10"/>
        <rFont val="Arial"/>
        <family val="0"/>
      </rPr>
      <t>" correspondiente)</t>
    </r>
  </si>
  <si>
    <t>TRABAJADOR</t>
  </si>
  <si>
    <t>EMPRESA</t>
  </si>
  <si>
    <t>COSTE TOTAL EMPRESA</t>
  </si>
  <si>
    <t>COSTES SOCIALES EMPRESA</t>
  </si>
  <si>
    <t>FOGASA</t>
  </si>
  <si>
    <t>C.S. EXTRAORDINARIOS</t>
  </si>
  <si>
    <t>Fuente original: http://www.irpf.eu/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</si>
</sst>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7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48"/>
      <name val="Arial"/>
      <family val="2"/>
    </font>
    <font>
      <b/>
      <i/>
      <u val="single"/>
      <sz val="16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366FF"/>
      <name val="Arial"/>
      <family val="0"/>
    </font>
    <font>
      <b/>
      <sz val="10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99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10" fontId="5" fillId="0" borderId="0" xfId="0" applyNumberFormat="1" applyFont="1" applyBorder="1" applyAlignment="1">
      <alignment horizontal="center"/>
    </xf>
    <xf numFmtId="1" fontId="9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4" fontId="0" fillId="0" borderId="10" xfId="0" applyNumberFormat="1" applyBorder="1" applyAlignment="1">
      <alignment/>
    </xf>
    <xf numFmtId="10" fontId="7" fillId="34" borderId="11" xfId="0" applyNumberFormat="1" applyFont="1" applyFill="1" applyBorder="1" applyAlignment="1">
      <alignment horizontal="center"/>
    </xf>
    <xf numFmtId="164" fontId="7" fillId="34" borderId="12" xfId="0" applyNumberFormat="1" applyFont="1" applyFill="1" applyBorder="1" applyAlignment="1">
      <alignment horizontal="center"/>
    </xf>
    <xf numFmtId="164" fontId="7" fillId="34" borderId="13" xfId="0" applyNumberFormat="1" applyFont="1" applyFill="1" applyBorder="1" applyAlignment="1">
      <alignment horizontal="center"/>
    </xf>
    <xf numFmtId="164" fontId="0" fillId="0" borderId="14" xfId="0" applyNumberFormat="1" applyBorder="1" applyAlignment="1">
      <alignment/>
    </xf>
    <xf numFmtId="164" fontId="8" fillId="0" borderId="15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7" xfId="0" applyNumberFormat="1" applyBorder="1" applyAlignment="1">
      <alignment/>
    </xf>
    <xf numFmtId="10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  <xf numFmtId="164" fontId="10" fillId="0" borderId="15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3" fillId="33" borderId="12" xfId="0" applyNumberFormat="1" applyFont="1" applyFill="1" applyBorder="1" applyAlignment="1">
      <alignment/>
    </xf>
    <xf numFmtId="164" fontId="3" fillId="33" borderId="22" xfId="0" applyNumberFormat="1" applyFont="1" applyFill="1" applyBorder="1" applyAlignment="1">
      <alignment/>
    </xf>
    <xf numFmtId="164" fontId="10" fillId="0" borderId="23" xfId="0" applyNumberFormat="1" applyFont="1" applyBorder="1" applyAlignment="1">
      <alignment horizontal="center"/>
    </xf>
    <xf numFmtId="164" fontId="0" fillId="0" borderId="23" xfId="0" applyNumberFormat="1" applyBorder="1" applyAlignment="1">
      <alignment/>
    </xf>
    <xf numFmtId="10" fontId="10" fillId="0" borderId="23" xfId="0" applyNumberFormat="1" applyFont="1" applyBorder="1" applyAlignment="1">
      <alignment/>
    </xf>
    <xf numFmtId="164" fontId="10" fillId="0" borderId="23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2" fontId="0" fillId="0" borderId="31" xfId="0" applyNumberForma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24" xfId="0" applyBorder="1" applyAlignment="1">
      <alignment wrapText="1"/>
    </xf>
    <xf numFmtId="2" fontId="0" fillId="0" borderId="33" xfId="0" applyNumberFormat="1" applyBorder="1" applyAlignment="1">
      <alignment/>
    </xf>
    <xf numFmtId="0" fontId="0" fillId="0" borderId="34" xfId="0" applyBorder="1" applyAlignment="1">
      <alignment wrapText="1"/>
    </xf>
    <xf numFmtId="2" fontId="0" fillId="0" borderId="35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36" xfId="0" applyNumberFormat="1" applyBorder="1" applyAlignment="1">
      <alignment/>
    </xf>
    <xf numFmtId="0" fontId="0" fillId="0" borderId="22" xfId="0" applyBorder="1" applyAlignment="1">
      <alignment wrapText="1"/>
    </xf>
    <xf numFmtId="0" fontId="8" fillId="0" borderId="23" xfId="0" applyFont="1" applyBorder="1" applyAlignment="1">
      <alignment horizontal="center"/>
    </xf>
    <xf numFmtId="164" fontId="10" fillId="33" borderId="1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8" fillId="0" borderId="38" xfId="0" applyFont="1" applyBorder="1" applyAlignment="1">
      <alignment horizontal="center"/>
    </xf>
    <xf numFmtId="2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0" fontId="0" fillId="33" borderId="0" xfId="0" applyFill="1" applyAlignment="1">
      <alignment horizontal="center"/>
    </xf>
    <xf numFmtId="0" fontId="7" fillId="34" borderId="13" xfId="0" applyNumberFormat="1" applyFont="1" applyFill="1" applyBorder="1" applyAlignment="1">
      <alignment horizontal="center"/>
    </xf>
    <xf numFmtId="0" fontId="7" fillId="34" borderId="17" xfId="0" applyNumberFormat="1" applyFont="1" applyFill="1" applyBorder="1" applyAlignment="1">
      <alignment horizontal="center"/>
    </xf>
    <xf numFmtId="164" fontId="7" fillId="34" borderId="19" xfId="0" applyNumberFormat="1" applyFont="1" applyFill="1" applyBorder="1" applyAlignment="1">
      <alignment horizontal="center"/>
    </xf>
    <xf numFmtId="164" fontId="7" fillId="34" borderId="15" xfId="0" applyNumberFormat="1" applyFont="1" applyFill="1" applyBorder="1" applyAlignment="1">
      <alignment horizontal="center"/>
    </xf>
    <xf numFmtId="10" fontId="0" fillId="0" borderId="0" xfId="0" applyNumberFormat="1" applyFont="1" applyBorder="1" applyAlignment="1">
      <alignment/>
    </xf>
    <xf numFmtId="164" fontId="4" fillId="0" borderId="20" xfId="0" applyNumberFormat="1" applyFont="1" applyBorder="1" applyAlignment="1">
      <alignment horizontal="left"/>
    </xf>
    <xf numFmtId="164" fontId="4" fillId="0" borderId="21" xfId="0" applyNumberFormat="1" applyFont="1" applyBorder="1" applyAlignment="1">
      <alignment horizontal="left"/>
    </xf>
    <xf numFmtId="164" fontId="7" fillId="34" borderId="17" xfId="0" applyNumberFormat="1" applyFont="1" applyFill="1" applyBorder="1" applyAlignment="1">
      <alignment horizontal="center"/>
    </xf>
    <xf numFmtId="10" fontId="10" fillId="0" borderId="33" xfId="0" applyNumberFormat="1" applyFont="1" applyBorder="1" applyAlignment="1">
      <alignment horizontal="center"/>
    </xf>
    <xf numFmtId="0" fontId="0" fillId="0" borderId="41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1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1" fontId="0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10" fontId="10" fillId="0" borderId="42" xfId="0" applyNumberFormat="1" applyFont="1" applyBorder="1" applyAlignment="1">
      <alignment horizontal="center"/>
    </xf>
    <xf numFmtId="0" fontId="0" fillId="33" borderId="0" xfId="0" applyFont="1" applyFill="1" applyAlignment="1">
      <alignment vertical="center"/>
    </xf>
    <xf numFmtId="164" fontId="0" fillId="0" borderId="21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8" fillId="0" borderId="45" xfId="0" applyNumberFormat="1" applyFont="1" applyBorder="1" applyAlignment="1">
      <alignment horizontal="center"/>
    </xf>
    <xf numFmtId="164" fontId="8" fillId="0" borderId="46" xfId="0" applyNumberFormat="1" applyFont="1" applyBorder="1" applyAlignment="1">
      <alignment horizontal="center"/>
    </xf>
    <xf numFmtId="10" fontId="8" fillId="0" borderId="19" xfId="0" applyNumberFormat="1" applyFont="1" applyBorder="1" applyAlignment="1">
      <alignment horizontal="center"/>
    </xf>
    <xf numFmtId="10" fontId="10" fillId="0" borderId="15" xfId="0" applyNumberFormat="1" applyFont="1" applyBorder="1" applyAlignment="1">
      <alignment horizontal="center"/>
    </xf>
    <xf numFmtId="10" fontId="45" fillId="0" borderId="17" xfId="0" applyNumberFormat="1" applyFont="1" applyBorder="1" applyAlignment="1">
      <alignment horizontal="center"/>
    </xf>
    <xf numFmtId="10" fontId="46" fillId="0" borderId="1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0" fontId="46" fillId="0" borderId="0" xfId="0" applyNumberFormat="1" applyFont="1" applyBorder="1" applyAlignment="1">
      <alignment horizontal="center"/>
    </xf>
    <xf numFmtId="10" fontId="45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0" fillId="0" borderId="39" xfId="0" applyNumberFormat="1" applyBorder="1" applyAlignment="1">
      <alignment/>
    </xf>
    <xf numFmtId="164" fontId="45" fillId="0" borderId="23" xfId="0" applyNumberFormat="1" applyFont="1" applyBorder="1" applyAlignment="1">
      <alignment/>
    </xf>
    <xf numFmtId="10" fontId="46" fillId="0" borderId="29" xfId="0" applyNumberFormat="1" applyFont="1" applyBorder="1" applyAlignment="1">
      <alignment horizontal="center"/>
    </xf>
    <xf numFmtId="10" fontId="46" fillId="0" borderId="47" xfId="0" applyNumberFormat="1" applyFont="1" applyBorder="1" applyAlignment="1">
      <alignment horizontal="center"/>
    </xf>
    <xf numFmtId="164" fontId="3" fillId="33" borderId="0" xfId="0" applyNumberFormat="1" applyFont="1" applyFill="1" applyBorder="1" applyAlignment="1">
      <alignment horizontal="left"/>
    </xf>
    <xf numFmtId="164" fontId="10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64" fontId="3" fillId="0" borderId="48" xfId="0" applyNumberFormat="1" applyFont="1" applyBorder="1" applyAlignment="1">
      <alignment horizontal="right"/>
    </xf>
    <xf numFmtId="164" fontId="3" fillId="0" borderId="49" xfId="0" applyNumberFormat="1" applyFont="1" applyBorder="1" applyAlignment="1">
      <alignment horizontal="right"/>
    </xf>
    <xf numFmtId="10" fontId="10" fillId="0" borderId="50" xfId="0" applyNumberFormat="1" applyFont="1" applyBorder="1" applyAlignment="1">
      <alignment horizontal="center"/>
    </xf>
    <xf numFmtId="10" fontId="46" fillId="0" borderId="30" xfId="0" applyNumberFormat="1" applyFont="1" applyBorder="1" applyAlignment="1">
      <alignment horizontal="center"/>
    </xf>
    <xf numFmtId="10" fontId="46" fillId="0" borderId="51" xfId="0" applyNumberFormat="1" applyFont="1" applyBorder="1" applyAlignment="1">
      <alignment horizontal="center"/>
    </xf>
    <xf numFmtId="164" fontId="3" fillId="13" borderId="22" xfId="0" applyNumberFormat="1" applyFont="1" applyFill="1" applyBorder="1" applyAlignment="1">
      <alignment/>
    </xf>
    <xf numFmtId="0" fontId="3" fillId="13" borderId="47" xfId="0" applyFont="1" applyFill="1" applyBorder="1" applyAlignment="1">
      <alignment/>
    </xf>
    <xf numFmtId="164" fontId="4" fillId="13" borderId="37" xfId="0" applyNumberFormat="1" applyFont="1" applyFill="1" applyBorder="1" applyAlignment="1">
      <alignment/>
    </xf>
    <xf numFmtId="0" fontId="0" fillId="13" borderId="38" xfId="0" applyFill="1" applyBorder="1" applyAlignment="1">
      <alignment/>
    </xf>
    <xf numFmtId="164" fontId="4" fillId="13" borderId="45" xfId="0" applyNumberFormat="1" applyFont="1" applyFill="1" applyBorder="1" applyAlignment="1">
      <alignment/>
    </xf>
    <xf numFmtId="0" fontId="0" fillId="13" borderId="52" xfId="0" applyFill="1" applyBorder="1" applyAlignment="1">
      <alignment/>
    </xf>
    <xf numFmtId="164" fontId="7" fillId="34" borderId="45" xfId="0" applyNumberFormat="1" applyFont="1" applyFill="1" applyBorder="1" applyAlignment="1">
      <alignment horizontal="center"/>
    </xf>
    <xf numFmtId="164" fontId="7" fillId="34" borderId="46" xfId="0" applyNumberFormat="1" applyFont="1" applyFill="1" applyBorder="1" applyAlignment="1">
      <alignment horizontal="center"/>
    </xf>
    <xf numFmtId="164" fontId="7" fillId="34" borderId="53" xfId="0" applyNumberFormat="1" applyFont="1" applyFill="1" applyBorder="1" applyAlignment="1">
      <alignment horizontal="center" wrapText="1"/>
    </xf>
    <xf numFmtId="164" fontId="7" fillId="34" borderId="54" xfId="0" applyNumberFormat="1" applyFont="1" applyFill="1" applyBorder="1" applyAlignment="1">
      <alignment horizontal="center" wrapText="1"/>
    </xf>
    <xf numFmtId="164" fontId="7" fillId="34" borderId="24" xfId="0" applyNumberFormat="1" applyFont="1" applyFill="1" applyBorder="1" applyAlignment="1">
      <alignment horizontal="center" wrapText="1"/>
    </xf>
    <xf numFmtId="164" fontId="7" fillId="34" borderId="0" xfId="0" applyNumberFormat="1" applyFont="1" applyFill="1" applyBorder="1" applyAlignment="1">
      <alignment horizontal="center" wrapText="1"/>
    </xf>
    <xf numFmtId="164" fontId="7" fillId="34" borderId="25" xfId="0" applyNumberFormat="1" applyFont="1" applyFill="1" applyBorder="1" applyAlignment="1">
      <alignment horizontal="center" wrapText="1"/>
    </xf>
    <xf numFmtId="164" fontId="7" fillId="34" borderId="55" xfId="0" applyNumberFormat="1" applyFont="1" applyFill="1" applyBorder="1" applyAlignment="1">
      <alignment horizontal="center" wrapText="1"/>
    </xf>
    <xf numFmtId="164" fontId="7" fillId="34" borderId="27" xfId="0" applyNumberFormat="1" applyFont="1" applyFill="1" applyBorder="1" applyAlignment="1">
      <alignment horizontal="center" wrapText="1"/>
    </xf>
    <xf numFmtId="10" fontId="8" fillId="0" borderId="18" xfId="0" applyNumberFormat="1" applyFont="1" applyBorder="1" applyAlignment="1">
      <alignment horizontal="center"/>
    </xf>
    <xf numFmtId="10" fontId="8" fillId="0" borderId="19" xfId="0" applyNumberFormat="1" applyFont="1" applyBorder="1" applyAlignment="1">
      <alignment horizontal="center"/>
    </xf>
    <xf numFmtId="164" fontId="7" fillId="34" borderId="30" xfId="0" applyNumberFormat="1" applyFont="1" applyFill="1" applyBorder="1" applyAlignment="1">
      <alignment horizontal="center"/>
    </xf>
    <xf numFmtId="164" fontId="7" fillId="34" borderId="51" xfId="0" applyNumberFormat="1" applyFont="1" applyFill="1" applyBorder="1" applyAlignment="1">
      <alignment horizontal="center"/>
    </xf>
    <xf numFmtId="164" fontId="7" fillId="34" borderId="18" xfId="0" applyNumberFormat="1" applyFont="1" applyFill="1" applyBorder="1" applyAlignment="1">
      <alignment horizontal="center"/>
    </xf>
    <xf numFmtId="164" fontId="7" fillId="34" borderId="19" xfId="0" applyNumberFormat="1" applyFont="1" applyFill="1" applyBorder="1" applyAlignment="1">
      <alignment horizontal="center"/>
    </xf>
    <xf numFmtId="164" fontId="7" fillId="34" borderId="15" xfId="0" applyNumberFormat="1" applyFont="1" applyFill="1" applyBorder="1" applyAlignment="1">
      <alignment horizontal="center"/>
    </xf>
    <xf numFmtId="164" fontId="4" fillId="0" borderId="20" xfId="0" applyNumberFormat="1" applyFont="1" applyBorder="1" applyAlignment="1">
      <alignment horizontal="left"/>
    </xf>
    <xf numFmtId="164" fontId="4" fillId="0" borderId="21" xfId="0" applyNumberFormat="1" applyFont="1" applyBorder="1" applyAlignment="1">
      <alignment horizontal="left"/>
    </xf>
    <xf numFmtId="164" fontId="4" fillId="0" borderId="56" xfId="0" applyNumberFormat="1" applyFont="1" applyBorder="1" applyAlignment="1">
      <alignment horizontal="left"/>
    </xf>
    <xf numFmtId="164" fontId="4" fillId="0" borderId="43" xfId="0" applyNumberFormat="1" applyFont="1" applyBorder="1" applyAlignment="1">
      <alignment horizontal="left"/>
    </xf>
    <xf numFmtId="164" fontId="0" fillId="0" borderId="57" xfId="0" applyNumberFormat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164" fontId="4" fillId="34" borderId="45" xfId="0" applyNumberFormat="1" applyFont="1" applyFill="1" applyBorder="1" applyAlignment="1">
      <alignment horizontal="center"/>
    </xf>
    <xf numFmtId="164" fontId="4" fillId="34" borderId="46" xfId="0" applyNumberFormat="1" applyFont="1" applyFill="1" applyBorder="1" applyAlignment="1">
      <alignment horizontal="center"/>
    </xf>
    <xf numFmtId="164" fontId="4" fillId="33" borderId="18" xfId="0" applyNumberFormat="1" applyFont="1" applyFill="1" applyBorder="1" applyAlignment="1">
      <alignment/>
    </xf>
    <xf numFmtId="164" fontId="4" fillId="33" borderId="19" xfId="0" applyNumberFormat="1" applyFont="1" applyFill="1" applyBorder="1" applyAlignment="1">
      <alignment/>
    </xf>
    <xf numFmtId="164" fontId="3" fillId="33" borderId="22" xfId="0" applyNumberFormat="1" applyFont="1" applyFill="1" applyBorder="1" applyAlignment="1">
      <alignment/>
    </xf>
    <xf numFmtId="164" fontId="3" fillId="33" borderId="47" xfId="0" applyNumberFormat="1" applyFont="1" applyFill="1" applyBorder="1" applyAlignment="1">
      <alignment/>
    </xf>
    <xf numFmtId="164" fontId="4" fillId="0" borderId="18" xfId="0" applyNumberFormat="1" applyFont="1" applyBorder="1" applyAlignment="1">
      <alignment horizontal="left" wrapText="1"/>
    </xf>
    <xf numFmtId="164" fontId="4" fillId="0" borderId="19" xfId="0" applyNumberFormat="1" applyFont="1" applyBorder="1" applyAlignment="1">
      <alignment horizontal="left" wrapText="1"/>
    </xf>
    <xf numFmtId="164" fontId="4" fillId="0" borderId="20" xfId="0" applyNumberFormat="1" applyFont="1" applyBorder="1" applyAlignment="1">
      <alignment horizontal="left" wrapText="1"/>
    </xf>
    <xf numFmtId="164" fontId="4" fillId="0" borderId="21" xfId="0" applyNumberFormat="1" applyFont="1" applyBorder="1" applyAlignment="1">
      <alignment horizontal="left" wrapText="1"/>
    </xf>
    <xf numFmtId="164" fontId="0" fillId="0" borderId="21" xfId="0" applyNumberFormat="1" applyBorder="1" applyAlignment="1">
      <alignment horizontal="center" vertical="center"/>
    </xf>
    <xf numFmtId="164" fontId="4" fillId="33" borderId="2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/>
    </xf>
    <xf numFmtId="164" fontId="3" fillId="33" borderId="13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1" fontId="0" fillId="33" borderId="0" xfId="0" applyNumberFormat="1" applyFont="1" applyFill="1" applyAlignment="1">
      <alignment horizontal="left" vertical="center" wrapText="1"/>
    </xf>
    <xf numFmtId="1" fontId="0" fillId="33" borderId="0" xfId="0" applyNumberFormat="1" applyFill="1" applyAlignment="1">
      <alignment horizontal="left" vertical="center" wrapText="1"/>
    </xf>
    <xf numFmtId="164" fontId="4" fillId="0" borderId="12" xfId="0" applyNumberFormat="1" applyFont="1" applyBorder="1" applyAlignment="1">
      <alignment horizontal="left"/>
    </xf>
    <xf numFmtId="164" fontId="4" fillId="0" borderId="13" xfId="0" applyNumberFormat="1" applyFont="1" applyBorder="1" applyAlignment="1">
      <alignment horizontal="left"/>
    </xf>
    <xf numFmtId="164" fontId="7" fillId="34" borderId="18" xfId="0" applyNumberFormat="1" applyFont="1" applyFill="1" applyBorder="1" applyAlignment="1">
      <alignment horizontal="left" vertical="center"/>
    </xf>
    <xf numFmtId="164" fontId="7" fillId="34" borderId="19" xfId="0" applyNumberFormat="1" applyFont="1" applyFill="1" applyBorder="1" applyAlignment="1">
      <alignment horizontal="left" vertical="center"/>
    </xf>
    <xf numFmtId="164" fontId="7" fillId="34" borderId="12" xfId="0" applyNumberFormat="1" applyFont="1" applyFill="1" applyBorder="1" applyAlignment="1">
      <alignment horizontal="left" vertical="center"/>
    </xf>
    <xf numFmtId="164" fontId="7" fillId="34" borderId="13" xfId="0" applyNumberFormat="1" applyFont="1" applyFill="1" applyBorder="1" applyAlignment="1">
      <alignment horizontal="left" vertical="center"/>
    </xf>
    <xf numFmtId="164" fontId="0" fillId="0" borderId="16" xfId="0" applyNumberFormat="1" applyBorder="1" applyAlignment="1">
      <alignment horizontal="center" vertical="center"/>
    </xf>
    <xf numFmtId="164" fontId="4" fillId="0" borderId="12" xfId="0" applyNumberFormat="1" applyFont="1" applyBorder="1" applyAlignment="1">
      <alignment horizontal="left" wrapText="1"/>
    </xf>
    <xf numFmtId="164" fontId="4" fillId="0" borderId="13" xfId="0" applyNumberFormat="1" applyFont="1" applyBorder="1" applyAlignment="1">
      <alignment horizontal="left" wrapText="1"/>
    </xf>
    <xf numFmtId="164" fontId="0" fillId="0" borderId="13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3" fillId="33" borderId="22" xfId="0" applyNumberFormat="1" applyFont="1" applyFill="1" applyBorder="1" applyAlignment="1">
      <alignment horizontal="left"/>
    </xf>
    <xf numFmtId="164" fontId="3" fillId="33" borderId="47" xfId="0" applyNumberFormat="1" applyFont="1" applyFill="1" applyBorder="1" applyAlignment="1">
      <alignment horizontal="left"/>
    </xf>
    <xf numFmtId="164" fontId="0" fillId="0" borderId="59" xfId="0" applyNumberFormat="1" applyBorder="1" applyAlignment="1">
      <alignment horizontal="center"/>
    </xf>
    <xf numFmtId="164" fontId="0" fillId="0" borderId="60" xfId="0" applyNumberFormat="1" applyBorder="1" applyAlignment="1">
      <alignment horizontal="center"/>
    </xf>
    <xf numFmtId="164" fontId="7" fillId="34" borderId="61" xfId="0" applyNumberFormat="1" applyFont="1" applyFill="1" applyBorder="1" applyAlignment="1">
      <alignment horizontal="center"/>
    </xf>
    <xf numFmtId="164" fontId="7" fillId="34" borderId="62" xfId="0" applyNumberFormat="1" applyFont="1" applyFill="1" applyBorder="1" applyAlignment="1">
      <alignment horizontal="center"/>
    </xf>
    <xf numFmtId="164" fontId="7" fillId="34" borderId="63" xfId="0" applyNumberFormat="1" applyFont="1" applyFill="1" applyBorder="1" applyAlignment="1">
      <alignment horizontal="center"/>
    </xf>
    <xf numFmtId="164" fontId="7" fillId="34" borderId="53" xfId="0" applyNumberFormat="1" applyFont="1" applyFill="1" applyBorder="1" applyAlignment="1">
      <alignment horizontal="left" vertical="center"/>
    </xf>
    <xf numFmtId="164" fontId="7" fillId="34" borderId="64" xfId="0" applyNumberFormat="1" applyFont="1" applyFill="1" applyBorder="1" applyAlignment="1">
      <alignment horizontal="left" vertical="center"/>
    </xf>
    <xf numFmtId="164" fontId="7" fillId="34" borderId="25" xfId="0" applyNumberFormat="1" applyFont="1" applyFill="1" applyBorder="1" applyAlignment="1">
      <alignment horizontal="left" vertical="center"/>
    </xf>
    <xf numFmtId="164" fontId="7" fillId="34" borderId="65" xfId="0" applyNumberFormat="1" applyFont="1" applyFill="1" applyBorder="1" applyAlignment="1">
      <alignment horizontal="left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0" fontId="46" fillId="0" borderId="45" xfId="0" applyNumberFormat="1" applyFont="1" applyBorder="1" applyAlignment="1">
      <alignment horizontal="center"/>
    </xf>
    <xf numFmtId="10" fontId="46" fillId="0" borderId="52" xfId="0" applyNumberFormat="1" applyFont="1" applyBorder="1" applyAlignment="1">
      <alignment horizontal="center"/>
    </xf>
    <xf numFmtId="0" fontId="3" fillId="6" borderId="0" xfId="0" applyFont="1" applyFill="1" applyBorder="1" applyAlignment="1">
      <alignment vertic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">
      <selection activeCell="D45" sqref="D45"/>
    </sheetView>
  </sheetViews>
  <sheetFormatPr defaultColWidth="11.57421875" defaultRowHeight="12.75"/>
  <cols>
    <col min="1" max="1" width="5.7109375" style="1" customWidth="1"/>
    <col min="2" max="2" width="11.421875" style="3" customWidth="1"/>
    <col min="3" max="3" width="15.421875" style="3" customWidth="1"/>
    <col min="4" max="4" width="11.421875" style="1" customWidth="1"/>
    <col min="5" max="5" width="5.7109375" style="1" customWidth="1"/>
    <col min="6" max="8" width="11.421875" style="1" customWidth="1"/>
    <col min="9" max="10" width="11.421875" style="2" customWidth="1"/>
    <col min="11" max="11" width="16.8515625" style="1" customWidth="1"/>
    <col min="12" max="16384" width="11.421875" style="1" customWidth="1"/>
  </cols>
  <sheetData>
    <row r="1" spans="1:15" s="7" customFormat="1" ht="18">
      <c r="A1" s="6" t="s">
        <v>90</v>
      </c>
      <c r="O1" s="8"/>
    </row>
    <row r="2" spans="1:15" s="7" customFormat="1" ht="12">
      <c r="A2" s="6"/>
      <c r="O2" s="8"/>
    </row>
    <row r="3" spans="1:15" s="81" customFormat="1" ht="16.5" customHeight="1">
      <c r="A3" s="81" t="s">
        <v>17</v>
      </c>
      <c r="O3" s="82"/>
    </row>
    <row r="4" spans="1:15" s="81" customFormat="1" ht="16.5" customHeight="1">
      <c r="A4" s="81" t="s">
        <v>46</v>
      </c>
      <c r="O4" s="82"/>
    </row>
    <row r="5" spans="1:15" s="81" customFormat="1" ht="16.5" customHeight="1">
      <c r="A5" s="83" t="s">
        <v>91</v>
      </c>
      <c r="O5" s="82"/>
    </row>
    <row r="6" spans="1:16" s="81" customFormat="1" ht="16.5" customHeight="1">
      <c r="A6" s="168" t="s">
        <v>89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</row>
    <row r="7" spans="1:16" s="81" customFormat="1" ht="16.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</row>
    <row r="8" spans="1:16" s="81" customFormat="1" ht="16.5" customHeight="1">
      <c r="A8" s="168" t="s">
        <v>92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</row>
    <row r="9" spans="1:16" s="81" customFormat="1" ht="16.5" customHeight="1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</row>
    <row r="10" spans="1:3" s="84" customFormat="1" ht="16.5" customHeight="1">
      <c r="A10" s="84" t="s">
        <v>45</v>
      </c>
      <c r="C10" s="85"/>
    </row>
    <row r="12" ht="12.75" thickBot="1"/>
    <row r="13" spans="2:16" ht="12">
      <c r="B13" s="153" t="s">
        <v>16</v>
      </c>
      <c r="C13" s="154"/>
      <c r="D13" s="14">
        <v>35000</v>
      </c>
      <c r="G13" s="142" t="s">
        <v>15</v>
      </c>
      <c r="H13" s="143"/>
      <c r="I13" s="144"/>
      <c r="J13" s="116"/>
      <c r="L13" s="188" t="s">
        <v>63</v>
      </c>
      <c r="M13" s="189"/>
      <c r="N13" s="185" t="s">
        <v>57</v>
      </c>
      <c r="O13" s="186"/>
      <c r="P13" s="187"/>
    </row>
    <row r="14" spans="2:16" ht="12.75" thickBot="1">
      <c r="B14" s="162" t="s">
        <v>19</v>
      </c>
      <c r="C14" s="163"/>
      <c r="D14" s="15">
        <v>0</v>
      </c>
      <c r="G14" s="11" t="s">
        <v>4</v>
      </c>
      <c r="H14" s="12" t="s">
        <v>5</v>
      </c>
      <c r="I14" s="70" t="s">
        <v>82</v>
      </c>
      <c r="J14" s="117"/>
      <c r="L14" s="190"/>
      <c r="M14" s="191"/>
      <c r="N14" s="69">
        <v>0</v>
      </c>
      <c r="O14" s="69">
        <v>1</v>
      </c>
      <c r="P14" s="70" t="s">
        <v>58</v>
      </c>
    </row>
    <row r="15" spans="2:16" ht="13.5" customHeight="1" thickBot="1">
      <c r="B15" s="149"/>
      <c r="C15" s="150"/>
      <c r="D15" s="13"/>
      <c r="G15" s="23">
        <v>0</v>
      </c>
      <c r="H15" s="24">
        <v>12450</v>
      </c>
      <c r="I15" s="25">
        <v>0.19</v>
      </c>
      <c r="J15" s="73"/>
      <c r="L15" s="157" t="s">
        <v>59</v>
      </c>
      <c r="M15" s="158"/>
      <c r="N15" s="193" t="s">
        <v>60</v>
      </c>
      <c r="O15" s="193">
        <v>13662</v>
      </c>
      <c r="P15" s="192">
        <v>15617</v>
      </c>
    </row>
    <row r="16" spans="2:16" ht="12.75" thickBot="1">
      <c r="B16" s="155" t="s">
        <v>9</v>
      </c>
      <c r="C16" s="156"/>
      <c r="D16" s="37">
        <f>SUM(D13:D14)</f>
        <v>35000</v>
      </c>
      <c r="G16" s="26">
        <v>12450</v>
      </c>
      <c r="H16" s="27">
        <v>20200</v>
      </c>
      <c r="I16" s="28">
        <v>0.24</v>
      </c>
      <c r="J16" s="73"/>
      <c r="L16" s="159"/>
      <c r="M16" s="160"/>
      <c r="N16" s="161"/>
      <c r="O16" s="161"/>
      <c r="P16" s="176"/>
    </row>
    <row r="17" spans="7:16" ht="13.5" customHeight="1" thickBot="1">
      <c r="G17" s="26">
        <v>20200</v>
      </c>
      <c r="H17" s="27">
        <v>35200</v>
      </c>
      <c r="I17" s="28">
        <v>0.3</v>
      </c>
      <c r="J17" s="73"/>
      <c r="L17" s="159" t="s">
        <v>62</v>
      </c>
      <c r="M17" s="160"/>
      <c r="N17" s="161">
        <v>13335</v>
      </c>
      <c r="O17" s="161">
        <v>14774</v>
      </c>
      <c r="P17" s="176">
        <v>16952</v>
      </c>
    </row>
    <row r="18" spans="2:16" ht="12">
      <c r="B18" s="153" t="s">
        <v>10</v>
      </c>
      <c r="C18" s="154"/>
      <c r="D18" s="53">
        <f>5550+Ayuda!D6</f>
        <v>5550</v>
      </c>
      <c r="G18" s="26">
        <v>35200</v>
      </c>
      <c r="H18" s="27">
        <v>60000</v>
      </c>
      <c r="I18" s="28">
        <v>0.37</v>
      </c>
      <c r="J18" s="73"/>
      <c r="K18" s="4"/>
      <c r="L18" s="159"/>
      <c r="M18" s="160"/>
      <c r="N18" s="161"/>
      <c r="O18" s="161"/>
      <c r="P18" s="176"/>
    </row>
    <row r="19" spans="2:16" ht="12.75" thickBot="1">
      <c r="B19" s="162" t="s">
        <v>11</v>
      </c>
      <c r="C19" s="163"/>
      <c r="D19" s="54">
        <f>Ayuda!D13</f>
        <v>0</v>
      </c>
      <c r="G19" s="29">
        <v>60000</v>
      </c>
      <c r="H19" s="30"/>
      <c r="I19" s="31">
        <v>0.45</v>
      </c>
      <c r="J19" s="73"/>
      <c r="L19" s="159" t="s">
        <v>61</v>
      </c>
      <c r="M19" s="160"/>
      <c r="N19" s="161">
        <v>11162</v>
      </c>
      <c r="O19" s="161">
        <v>11888</v>
      </c>
      <c r="P19" s="176">
        <v>12519</v>
      </c>
    </row>
    <row r="20" spans="2:16" ht="12.75" thickBot="1">
      <c r="B20" s="162" t="s">
        <v>12</v>
      </c>
      <c r="C20" s="163"/>
      <c r="D20" s="54">
        <f>Ayuda!D24</f>
        <v>0</v>
      </c>
      <c r="I20" s="1"/>
      <c r="J20" s="1"/>
      <c r="L20" s="177"/>
      <c r="M20" s="178"/>
      <c r="N20" s="179"/>
      <c r="O20" s="179"/>
      <c r="P20" s="180"/>
    </row>
    <row r="21" spans="2:10" ht="12.75" thickBot="1">
      <c r="B21" s="162" t="s">
        <v>44</v>
      </c>
      <c r="C21" s="163"/>
      <c r="D21" s="54">
        <f>Ayuda!D32</f>
        <v>0</v>
      </c>
      <c r="I21" s="1"/>
      <c r="J21" s="1"/>
    </row>
    <row r="22" spans="2:10" ht="12.75" thickBot="1">
      <c r="B22" s="149"/>
      <c r="C22" s="150"/>
      <c r="D22" s="13"/>
      <c r="G22" s="151" t="s">
        <v>13</v>
      </c>
      <c r="H22" s="152"/>
      <c r="I22" s="1"/>
      <c r="J22" s="1"/>
    </row>
    <row r="23" spans="2:17" ht="12.75" thickBot="1">
      <c r="B23" s="155" t="s">
        <v>47</v>
      </c>
      <c r="C23" s="156"/>
      <c r="D23" s="37">
        <f>SUM(D18:D21)</f>
        <v>5550</v>
      </c>
      <c r="G23" s="32">
        <f>F24-F25</f>
        <v>5550</v>
      </c>
      <c r="H23" s="17">
        <f>G23*I15</f>
        <v>1054.5</v>
      </c>
      <c r="I23" s="1"/>
      <c r="J23" s="1"/>
      <c r="L23" s="172" t="s">
        <v>65</v>
      </c>
      <c r="M23" s="173"/>
      <c r="N23" s="173"/>
      <c r="O23" s="173"/>
      <c r="P23" s="71" t="s">
        <v>67</v>
      </c>
      <c r="Q23" s="72" t="s">
        <v>66</v>
      </c>
    </row>
    <row r="24" spans="6:17" ht="12.75" thickBot="1">
      <c r="F24" s="1">
        <f>IF((D$23-G15)&lt;0,0,(D$23-G15))</f>
        <v>5550</v>
      </c>
      <c r="G24" s="33">
        <f>F25-F26</f>
        <v>0</v>
      </c>
      <c r="H24" s="16">
        <f>G24*I16</f>
        <v>0</v>
      </c>
      <c r="I24" s="1"/>
      <c r="J24" s="1"/>
      <c r="L24" s="174"/>
      <c r="M24" s="175"/>
      <c r="N24" s="175"/>
      <c r="O24" s="175"/>
      <c r="P24" s="12" t="s">
        <v>75</v>
      </c>
      <c r="Q24" s="76" t="s">
        <v>75</v>
      </c>
    </row>
    <row r="25" spans="2:17" ht="12">
      <c r="B25" s="153" t="s">
        <v>23</v>
      </c>
      <c r="C25" s="154"/>
      <c r="D25" s="53">
        <f>2000</f>
        <v>2000</v>
      </c>
      <c r="F25" s="1">
        <f>IF((D$23-G16)&lt;0,0,(D$23-G16))</f>
        <v>0</v>
      </c>
      <c r="G25" s="33">
        <f>F26-F27</f>
        <v>0</v>
      </c>
      <c r="H25" s="16">
        <f>G25*I17</f>
        <v>0</v>
      </c>
      <c r="I25" s="1"/>
      <c r="J25" s="1"/>
      <c r="L25" s="147" t="s">
        <v>68</v>
      </c>
      <c r="M25" s="148"/>
      <c r="N25" s="148"/>
      <c r="O25" s="148"/>
      <c r="P25" s="96">
        <v>1152.79</v>
      </c>
      <c r="Q25" s="97">
        <v>3751.26</v>
      </c>
    </row>
    <row r="26" spans="2:17" ht="12">
      <c r="B26" s="162" t="s">
        <v>1</v>
      </c>
      <c r="C26" s="163"/>
      <c r="D26" s="16">
        <f>IF(D16&lt;12*Q36,IF(D16&gt;12*P36,(D33)*D16,D33*12*P36),(D33)*12*Q36)</f>
        <v>2222.5</v>
      </c>
      <c r="F26" s="1">
        <f>IF((D$23-G17)&lt;0,0,(D$23-G17))</f>
        <v>0</v>
      </c>
      <c r="G26" s="33">
        <f>F27-F28</f>
        <v>0</v>
      </c>
      <c r="H26" s="16">
        <f>G26*I18</f>
        <v>0</v>
      </c>
      <c r="I26" s="1"/>
      <c r="J26" s="1"/>
      <c r="L26" s="74" t="s">
        <v>69</v>
      </c>
      <c r="M26" s="75"/>
      <c r="N26" s="75"/>
      <c r="O26" s="75"/>
      <c r="P26" s="92">
        <v>956.12</v>
      </c>
      <c r="Q26" s="93">
        <v>3751.26</v>
      </c>
    </row>
    <row r="27" spans="2:17" ht="12">
      <c r="B27" s="162" t="s">
        <v>24</v>
      </c>
      <c r="C27" s="163"/>
      <c r="D27" s="54">
        <f>Ayuda!D46</f>
        <v>0</v>
      </c>
      <c r="F27" s="1">
        <f>IF((D$23-G18)&lt;0,0,(D$23-G18))</f>
        <v>0</v>
      </c>
      <c r="G27" s="33">
        <f>F28</f>
        <v>0</v>
      </c>
      <c r="H27" s="16">
        <f>G27*I19</f>
        <v>0</v>
      </c>
      <c r="L27" s="145" t="s">
        <v>70</v>
      </c>
      <c r="M27" s="146"/>
      <c r="N27" s="146"/>
      <c r="O27" s="146"/>
      <c r="P27" s="92">
        <v>831.71</v>
      </c>
      <c r="Q27" s="93">
        <v>3751.26</v>
      </c>
    </row>
    <row r="28" spans="2:17" ht="12.75" thickBot="1">
      <c r="B28" s="149"/>
      <c r="C28" s="150"/>
      <c r="D28" s="13"/>
      <c r="F28" s="1">
        <f>IF((D$23-G19)&lt;0,0,(D$23-G19))</f>
        <v>0</v>
      </c>
      <c r="G28" s="34" t="s">
        <v>0</v>
      </c>
      <c r="H28" s="18">
        <f>SUM(H23:H27)</f>
        <v>1054.5</v>
      </c>
      <c r="I28" s="1"/>
      <c r="J28" s="1"/>
      <c r="L28" s="145" t="s">
        <v>71</v>
      </c>
      <c r="M28" s="146"/>
      <c r="N28" s="146"/>
      <c r="O28" s="146"/>
      <c r="P28" s="92">
        <v>825.55</v>
      </c>
      <c r="Q28" s="93">
        <v>3751.26</v>
      </c>
    </row>
    <row r="29" spans="2:17" ht="12">
      <c r="B29" s="166" t="s">
        <v>2</v>
      </c>
      <c r="C29" s="167"/>
      <c r="D29" s="17">
        <f>SUM(D25:D27)</f>
        <v>4222.5</v>
      </c>
      <c r="I29" s="1"/>
      <c r="J29" s="1"/>
      <c r="L29" s="145" t="s">
        <v>72</v>
      </c>
      <c r="M29" s="146"/>
      <c r="N29" s="146"/>
      <c r="O29" s="146"/>
      <c r="P29" s="92">
        <v>825.55</v>
      </c>
      <c r="Q29" s="93">
        <v>3751.26</v>
      </c>
    </row>
    <row r="30" spans="2:17" ht="12.75" thickBot="1">
      <c r="B30" s="164" t="s">
        <v>3</v>
      </c>
      <c r="C30" s="165"/>
      <c r="D30" s="18">
        <f>D16-D29</f>
        <v>30777.5</v>
      </c>
      <c r="I30" s="1"/>
      <c r="J30" s="1"/>
      <c r="L30" s="145" t="s">
        <v>73</v>
      </c>
      <c r="M30" s="146"/>
      <c r="N30" s="146"/>
      <c r="O30" s="146"/>
      <c r="P30" s="92">
        <v>825.55</v>
      </c>
      <c r="Q30" s="93">
        <v>3751.26</v>
      </c>
    </row>
    <row r="31" spans="7:17" ht="12.75" thickBot="1">
      <c r="G31" s="151" t="s">
        <v>14</v>
      </c>
      <c r="H31" s="152"/>
      <c r="I31" s="1"/>
      <c r="J31" s="1"/>
      <c r="L31" s="170" t="s">
        <v>74</v>
      </c>
      <c r="M31" s="171"/>
      <c r="N31" s="171"/>
      <c r="O31" s="171"/>
      <c r="P31" s="94">
        <v>825.55</v>
      </c>
      <c r="Q31" s="95">
        <v>3751.26</v>
      </c>
    </row>
    <row r="32" spans="2:10" ht="12">
      <c r="B32" s="153" t="s">
        <v>6</v>
      </c>
      <c r="C32" s="154"/>
      <c r="D32" s="20">
        <f>I41</f>
        <v>0.1812642857142857</v>
      </c>
      <c r="G32" s="32">
        <f>F33-F34</f>
        <v>12450</v>
      </c>
      <c r="H32" s="17">
        <f>G32*I15</f>
        <v>2365.5</v>
      </c>
      <c r="I32" s="1"/>
      <c r="J32" s="1"/>
    </row>
    <row r="33" spans="2:10" ht="12.75" thickBot="1">
      <c r="B33" s="162" t="s">
        <v>48</v>
      </c>
      <c r="C33" s="163"/>
      <c r="D33" s="28">
        <f>Q41</f>
        <v>0.0635</v>
      </c>
      <c r="F33" s="1">
        <f>IF((D$30-G15)&lt;0,0,(D$30-G15))</f>
        <v>30777.5</v>
      </c>
      <c r="G33" s="33">
        <f>F34-F35</f>
        <v>7750</v>
      </c>
      <c r="H33" s="16">
        <f>G33*I16</f>
        <v>1860</v>
      </c>
      <c r="I33" s="1"/>
      <c r="J33" s="1"/>
    </row>
    <row r="34" spans="2:17" ht="13.5" customHeight="1" thickBot="1">
      <c r="B34" s="149"/>
      <c r="C34" s="150"/>
      <c r="D34" s="19"/>
      <c r="F34" s="1">
        <f>IF((D$30-G16)&lt;0,0,(D$30-G16))</f>
        <v>18327.5</v>
      </c>
      <c r="G34" s="33">
        <f>F35-F36</f>
        <v>10577.5</v>
      </c>
      <c r="H34" s="16">
        <f>G34*I17</f>
        <v>3173.25</v>
      </c>
      <c r="I34" s="5"/>
      <c r="J34" s="5"/>
      <c r="L34" s="131" t="s">
        <v>81</v>
      </c>
      <c r="M34" s="132"/>
      <c r="N34" s="132"/>
      <c r="O34" s="132"/>
      <c r="P34" s="71" t="s">
        <v>67</v>
      </c>
      <c r="Q34" s="72" t="s">
        <v>66</v>
      </c>
    </row>
    <row r="35" spans="2:17" ht="12.75" thickBot="1">
      <c r="B35" s="155" t="s">
        <v>7</v>
      </c>
      <c r="C35" s="156"/>
      <c r="D35" s="38">
        <f>SUM(D32:D33)</f>
        <v>0.2447642857142857</v>
      </c>
      <c r="F35" s="1">
        <f>IF((D$30-G17)&lt;0,0,(D$30-G17))</f>
        <v>10577.5</v>
      </c>
      <c r="G35" s="33">
        <f>F36-F37</f>
        <v>0</v>
      </c>
      <c r="H35" s="16">
        <f>G35*I18</f>
        <v>0</v>
      </c>
      <c r="L35" s="133"/>
      <c r="M35" s="134"/>
      <c r="N35" s="134"/>
      <c r="O35" s="134"/>
      <c r="P35" s="12" t="s">
        <v>75</v>
      </c>
      <c r="Q35" s="76" t="s">
        <v>75</v>
      </c>
    </row>
    <row r="36" spans="6:17" ht="12.75" thickBot="1">
      <c r="F36" s="1">
        <f>IF((D$30-G18)&lt;0,0,(D$30-G18))</f>
        <v>0</v>
      </c>
      <c r="G36" s="33">
        <f>F37</f>
        <v>0</v>
      </c>
      <c r="H36" s="16">
        <f>G36*I19</f>
        <v>0</v>
      </c>
      <c r="L36" s="135"/>
      <c r="M36" s="136"/>
      <c r="N36" s="136"/>
      <c r="O36" s="137"/>
      <c r="P36" s="98">
        <v>1152.79</v>
      </c>
      <c r="Q36" s="99">
        <v>3751.26</v>
      </c>
    </row>
    <row r="37" spans="2:8" ht="12.75" thickBot="1">
      <c r="B37" s="153" t="s">
        <v>21</v>
      </c>
      <c r="C37" s="154"/>
      <c r="D37" s="21">
        <f>IF(D$16&lt;12*Q36,(((1-D$35))*D13)/12,(((1-F41))*D13)/12)</f>
        <v>2202.770833333333</v>
      </c>
      <c r="F37" s="1">
        <f>IF((D$30-G19)&lt;0,0,(D$30-G19))</f>
        <v>0</v>
      </c>
      <c r="G37" s="34" t="s">
        <v>0</v>
      </c>
      <c r="H37" s="18">
        <f>SUM(H32:H36)</f>
        <v>7398.75</v>
      </c>
    </row>
    <row r="38" spans="2:4" ht="12.75" thickBot="1">
      <c r="B38" s="162" t="s">
        <v>18</v>
      </c>
      <c r="C38" s="163"/>
      <c r="D38" s="22">
        <f>IF(D$16&lt;12*Q36,(((1-D$35))*D14),(((1-F41))*D14))</f>
        <v>0</v>
      </c>
    </row>
    <row r="39" spans="2:17" ht="12.75" thickBot="1">
      <c r="B39" s="162" t="s">
        <v>49</v>
      </c>
      <c r="C39" s="163"/>
      <c r="D39" s="15">
        <v>0</v>
      </c>
      <c r="L39" s="142" t="s">
        <v>79</v>
      </c>
      <c r="M39" s="143"/>
      <c r="N39" s="143"/>
      <c r="O39" s="143"/>
      <c r="P39" s="143"/>
      <c r="Q39" s="144"/>
    </row>
    <row r="40" spans="2:17" ht="12.75" thickBot="1">
      <c r="B40" s="183"/>
      <c r="C40" s="184"/>
      <c r="D40" s="9"/>
      <c r="F40" s="1">
        <f>D26+H41</f>
        <v>8566.75</v>
      </c>
      <c r="G40" s="129" t="s">
        <v>20</v>
      </c>
      <c r="H40" s="130"/>
      <c r="I40" s="10" t="s">
        <v>6</v>
      </c>
      <c r="J40" s="115"/>
      <c r="L40" s="140" t="s">
        <v>76</v>
      </c>
      <c r="M40" s="141"/>
      <c r="N40" s="12" t="s">
        <v>78</v>
      </c>
      <c r="O40" s="12" t="s">
        <v>99</v>
      </c>
      <c r="P40" s="12" t="s">
        <v>77</v>
      </c>
      <c r="Q40" s="76" t="s">
        <v>0</v>
      </c>
    </row>
    <row r="41" spans="2:17" ht="12.75" thickBot="1">
      <c r="B41" s="181" t="s">
        <v>8</v>
      </c>
      <c r="C41" s="182"/>
      <c r="D41" s="39">
        <f>12*D37+D38+D39</f>
        <v>26433.249999999996</v>
      </c>
      <c r="F41" s="73">
        <f>F40/D16</f>
        <v>0.2447642857142857</v>
      </c>
      <c r="G41" s="35" t="s">
        <v>0</v>
      </c>
      <c r="H41" s="36">
        <f>H37-H28</f>
        <v>6344.25</v>
      </c>
      <c r="I41" s="90">
        <f>IF(H41&gt;0,(H41/D16),0)</f>
        <v>0.1812642857142857</v>
      </c>
      <c r="J41" s="114"/>
      <c r="K41" s="118" t="s">
        <v>95</v>
      </c>
      <c r="L41" s="138">
        <v>0.047</v>
      </c>
      <c r="M41" s="139"/>
      <c r="N41" s="100">
        <v>0.0155</v>
      </c>
      <c r="O41" s="100">
        <v>0</v>
      </c>
      <c r="P41" s="100">
        <v>0.001</v>
      </c>
      <c r="Q41" s="101">
        <f>SUM(L41:P41)</f>
        <v>0.0635</v>
      </c>
    </row>
    <row r="42" spans="9:17" ht="12.75" thickBot="1">
      <c r="I42" s="1"/>
      <c r="J42" s="1"/>
      <c r="K42" s="119" t="s">
        <v>96</v>
      </c>
      <c r="L42" s="121">
        <v>0.236</v>
      </c>
      <c r="M42" s="122"/>
      <c r="N42" s="103">
        <v>0.055</v>
      </c>
      <c r="O42" s="103">
        <v>0.002</v>
      </c>
      <c r="P42" s="103">
        <v>0.006</v>
      </c>
      <c r="Q42" s="102">
        <f>SUM(L42:P42)</f>
        <v>0.299</v>
      </c>
    </row>
    <row r="43" spans="2:17" ht="12.75" thickBot="1">
      <c r="B43" s="125" t="s">
        <v>98</v>
      </c>
      <c r="C43" s="126"/>
      <c r="D43" s="108">
        <f>D13*Q42</f>
        <v>10465</v>
      </c>
      <c r="I43" s="1"/>
      <c r="J43" s="1"/>
      <c r="K43" s="104"/>
      <c r="L43" s="105"/>
      <c r="M43" s="105"/>
      <c r="N43" s="105"/>
      <c r="O43" s="105"/>
      <c r="P43" s="105"/>
      <c r="Q43" s="106"/>
    </row>
    <row r="44" spans="2:17" ht="12.75" thickBot="1">
      <c r="B44" s="127" t="s">
        <v>100</v>
      </c>
      <c r="C44" s="128"/>
      <c r="D44" s="108">
        <f>D14*L42</f>
        <v>0</v>
      </c>
      <c r="I44" s="1"/>
      <c r="J44" s="1"/>
      <c r="K44" s="104"/>
      <c r="L44" s="105"/>
      <c r="M44" s="105"/>
      <c r="N44" s="105"/>
      <c r="O44" s="105"/>
      <c r="P44" s="105"/>
      <c r="Q44" s="106"/>
    </row>
    <row r="45" spans="2:10" ht="12.75" thickBot="1">
      <c r="B45" s="123" t="s">
        <v>97</v>
      </c>
      <c r="C45" s="124"/>
      <c r="D45" s="109">
        <f>D16+D43+D44</f>
        <v>45465</v>
      </c>
      <c r="I45" s="1"/>
      <c r="J45" s="1"/>
    </row>
    <row r="46" spans="3:10" ht="12">
      <c r="C46" s="107"/>
      <c r="I46" s="1"/>
      <c r="J46" s="1"/>
    </row>
    <row r="47" spans="1:6" s="88" customFormat="1" ht="16.5" customHeight="1">
      <c r="A47" s="86" t="s">
        <v>22</v>
      </c>
      <c r="B47" s="87"/>
      <c r="C47" s="87"/>
      <c r="D47" s="87"/>
      <c r="E47" s="87"/>
      <c r="F47" s="87"/>
    </row>
    <row r="48" spans="1:6" s="88" customFormat="1" ht="16.5" customHeight="1">
      <c r="A48" s="86" t="s">
        <v>80</v>
      </c>
      <c r="B48" s="87"/>
      <c r="C48" s="87"/>
      <c r="D48" s="87"/>
      <c r="E48" s="87"/>
      <c r="F48" s="87"/>
    </row>
    <row r="49" spans="1:6" s="88" customFormat="1" ht="16.5" customHeight="1">
      <c r="A49" s="86" t="s">
        <v>50</v>
      </c>
      <c r="B49" s="87"/>
      <c r="C49" s="87"/>
      <c r="D49" s="87"/>
      <c r="E49" s="87"/>
      <c r="F49" s="87"/>
    </row>
  </sheetData>
  <sheetProtection/>
  <mergeCells count="60">
    <mergeCell ref="A6:P7"/>
    <mergeCell ref="N13:P13"/>
    <mergeCell ref="L13:M14"/>
    <mergeCell ref="P15:P16"/>
    <mergeCell ref="G13:I13"/>
    <mergeCell ref="B13:C13"/>
    <mergeCell ref="N15:N16"/>
    <mergeCell ref="O15:O16"/>
    <mergeCell ref="B14:C14"/>
    <mergeCell ref="B40:C40"/>
    <mergeCell ref="B34:C34"/>
    <mergeCell ref="B38:C38"/>
    <mergeCell ref="B35:C35"/>
    <mergeCell ref="B37:C37"/>
    <mergeCell ref="B39:C39"/>
    <mergeCell ref="P17:P18"/>
    <mergeCell ref="L19:M20"/>
    <mergeCell ref="N19:N20"/>
    <mergeCell ref="O19:O20"/>
    <mergeCell ref="P19:P20"/>
    <mergeCell ref="L17:M18"/>
    <mergeCell ref="B32:C32"/>
    <mergeCell ref="B29:C29"/>
    <mergeCell ref="B33:C33"/>
    <mergeCell ref="A8:P9"/>
    <mergeCell ref="L30:O30"/>
    <mergeCell ref="L31:O31"/>
    <mergeCell ref="L23:O24"/>
    <mergeCell ref="L27:O27"/>
    <mergeCell ref="L28:O28"/>
    <mergeCell ref="B19:C19"/>
    <mergeCell ref="G31:H31"/>
    <mergeCell ref="B27:C27"/>
    <mergeCell ref="B20:C20"/>
    <mergeCell ref="B30:C30"/>
    <mergeCell ref="B28:C28"/>
    <mergeCell ref="B23:C23"/>
    <mergeCell ref="B21:C21"/>
    <mergeCell ref="B25:C25"/>
    <mergeCell ref="B26:C26"/>
    <mergeCell ref="L29:O29"/>
    <mergeCell ref="L25:O25"/>
    <mergeCell ref="B22:C22"/>
    <mergeCell ref="B15:C15"/>
    <mergeCell ref="G22:H22"/>
    <mergeCell ref="B18:C18"/>
    <mergeCell ref="B16:C16"/>
    <mergeCell ref="L15:M16"/>
    <mergeCell ref="N17:N18"/>
    <mergeCell ref="O17:O18"/>
    <mergeCell ref="L42:M42"/>
    <mergeCell ref="B45:C45"/>
    <mergeCell ref="B43:C43"/>
    <mergeCell ref="B44:C44"/>
    <mergeCell ref="G40:H40"/>
    <mergeCell ref="L34:O36"/>
    <mergeCell ref="L41:M41"/>
    <mergeCell ref="L40:M40"/>
    <mergeCell ref="L39:Q39"/>
    <mergeCell ref="B41:C41"/>
  </mergeCells>
  <printOptions/>
  <pageMargins left="0.75" right="0.75" top="1" bottom="1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7">
      <selection activeCell="K39" sqref="K39"/>
    </sheetView>
  </sheetViews>
  <sheetFormatPr defaultColWidth="11.57421875" defaultRowHeight="12.75"/>
  <cols>
    <col min="1" max="1" width="5.7109375" style="1" customWidth="1"/>
    <col min="2" max="2" width="11.421875" style="3" customWidth="1"/>
    <col min="3" max="3" width="15.421875" style="3" customWidth="1"/>
    <col min="4" max="4" width="11.421875" style="1" customWidth="1"/>
    <col min="5" max="5" width="5.7109375" style="1" customWidth="1"/>
    <col min="6" max="8" width="11.421875" style="1" customWidth="1"/>
    <col min="9" max="10" width="11.421875" style="2" customWidth="1"/>
    <col min="11" max="11" width="13.00390625" style="1" bestFit="1" customWidth="1"/>
    <col min="12" max="16384" width="11.421875" style="1" customWidth="1"/>
  </cols>
  <sheetData>
    <row r="1" spans="1:15" s="7" customFormat="1" ht="18">
      <c r="A1" s="6" t="s">
        <v>90</v>
      </c>
      <c r="O1" s="8"/>
    </row>
    <row r="2" spans="1:15" s="7" customFormat="1" ht="12">
      <c r="A2" s="6"/>
      <c r="O2" s="8"/>
    </row>
    <row r="3" spans="1:15" s="81" customFormat="1" ht="16.5" customHeight="1">
      <c r="A3" s="81" t="s">
        <v>17</v>
      </c>
      <c r="O3" s="82"/>
    </row>
    <row r="4" spans="1:15" s="81" customFormat="1" ht="16.5" customHeight="1">
      <c r="A4" s="81" t="s">
        <v>46</v>
      </c>
      <c r="O4" s="82"/>
    </row>
    <row r="5" spans="1:15" s="81" customFormat="1" ht="16.5" customHeight="1">
      <c r="A5" s="83" t="s">
        <v>93</v>
      </c>
      <c r="O5" s="82"/>
    </row>
    <row r="6" spans="1:16" s="81" customFormat="1" ht="16.5" customHeight="1">
      <c r="A6" s="168" t="s">
        <v>89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</row>
    <row r="7" spans="1:16" s="81" customFormat="1" ht="16.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</row>
    <row r="8" spans="1:16" s="81" customFormat="1" ht="16.5" customHeight="1">
      <c r="A8" s="168" t="s">
        <v>92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</row>
    <row r="9" spans="1:16" s="81" customFormat="1" ht="16.5" customHeight="1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</row>
    <row r="10" spans="1:3" s="84" customFormat="1" ht="16.5" customHeight="1">
      <c r="A10" s="84" t="s">
        <v>45</v>
      </c>
      <c r="C10" s="85"/>
    </row>
    <row r="12" ht="12.75" thickBot="1"/>
    <row r="13" spans="2:16" ht="12">
      <c r="B13" s="153" t="s">
        <v>16</v>
      </c>
      <c r="C13" s="154"/>
      <c r="D13" s="14">
        <v>24000</v>
      </c>
      <c r="G13" s="142" t="s">
        <v>15</v>
      </c>
      <c r="H13" s="143"/>
      <c r="I13" s="144"/>
      <c r="J13" s="116"/>
      <c r="L13" s="188" t="s">
        <v>63</v>
      </c>
      <c r="M13" s="189"/>
      <c r="N13" s="185" t="s">
        <v>57</v>
      </c>
      <c r="O13" s="186"/>
      <c r="P13" s="187"/>
    </row>
    <row r="14" spans="2:16" ht="12.75" thickBot="1">
      <c r="B14" s="162" t="s">
        <v>19</v>
      </c>
      <c r="C14" s="163"/>
      <c r="D14" s="15">
        <v>0</v>
      </c>
      <c r="G14" s="11" t="s">
        <v>4</v>
      </c>
      <c r="H14" s="12" t="s">
        <v>5</v>
      </c>
      <c r="I14" s="70" t="s">
        <v>82</v>
      </c>
      <c r="J14" s="117"/>
      <c r="L14" s="190"/>
      <c r="M14" s="191"/>
      <c r="N14" s="69">
        <v>0</v>
      </c>
      <c r="O14" s="69">
        <v>1</v>
      </c>
      <c r="P14" s="70" t="s">
        <v>58</v>
      </c>
    </row>
    <row r="15" spans="2:16" ht="13.5" customHeight="1" thickBot="1">
      <c r="B15" s="149"/>
      <c r="C15" s="150"/>
      <c r="D15" s="13"/>
      <c r="G15" s="23">
        <v>0</v>
      </c>
      <c r="H15" s="24">
        <v>12450</v>
      </c>
      <c r="I15" s="25">
        <v>0.19</v>
      </c>
      <c r="J15" s="73"/>
      <c r="L15" s="157" t="s">
        <v>59</v>
      </c>
      <c r="M15" s="158"/>
      <c r="N15" s="193" t="s">
        <v>60</v>
      </c>
      <c r="O15" s="193">
        <v>13662</v>
      </c>
      <c r="P15" s="192">
        <v>15617</v>
      </c>
    </row>
    <row r="16" spans="2:16" ht="12.75" thickBot="1">
      <c r="B16" s="155" t="s">
        <v>9</v>
      </c>
      <c r="C16" s="156"/>
      <c r="D16" s="37">
        <f>SUM(D13:D14)</f>
        <v>24000</v>
      </c>
      <c r="G16" s="26">
        <v>12450</v>
      </c>
      <c r="H16" s="27">
        <v>20200</v>
      </c>
      <c r="I16" s="28">
        <v>0.24</v>
      </c>
      <c r="J16" s="73"/>
      <c r="L16" s="159"/>
      <c r="M16" s="160"/>
      <c r="N16" s="161"/>
      <c r="O16" s="161"/>
      <c r="P16" s="176"/>
    </row>
    <row r="17" spans="7:16" ht="13.5" customHeight="1" thickBot="1">
      <c r="G17" s="26">
        <v>20200</v>
      </c>
      <c r="H17" s="27">
        <v>35200</v>
      </c>
      <c r="I17" s="28">
        <v>0.3</v>
      </c>
      <c r="J17" s="73"/>
      <c r="L17" s="159" t="s">
        <v>62</v>
      </c>
      <c r="M17" s="160"/>
      <c r="N17" s="161">
        <v>13335</v>
      </c>
      <c r="O17" s="161">
        <v>14774</v>
      </c>
      <c r="P17" s="176">
        <v>16952</v>
      </c>
    </row>
    <row r="18" spans="2:16" ht="12">
      <c r="B18" s="153" t="s">
        <v>10</v>
      </c>
      <c r="C18" s="154"/>
      <c r="D18" s="53">
        <f>5550+Ayuda!D6</f>
        <v>5550</v>
      </c>
      <c r="G18" s="26">
        <v>35200</v>
      </c>
      <c r="H18" s="27">
        <v>60000</v>
      </c>
      <c r="I18" s="28">
        <v>0.37</v>
      </c>
      <c r="J18" s="73"/>
      <c r="K18" s="4"/>
      <c r="L18" s="159"/>
      <c r="M18" s="160"/>
      <c r="N18" s="161"/>
      <c r="O18" s="161"/>
      <c r="P18" s="176"/>
    </row>
    <row r="19" spans="2:16" ht="12.75" thickBot="1">
      <c r="B19" s="162" t="s">
        <v>11</v>
      </c>
      <c r="C19" s="163"/>
      <c r="D19" s="54">
        <f>Ayuda!D13</f>
        <v>0</v>
      </c>
      <c r="G19" s="29">
        <v>60000</v>
      </c>
      <c r="H19" s="30"/>
      <c r="I19" s="31">
        <v>0.45</v>
      </c>
      <c r="J19" s="73"/>
      <c r="L19" s="159" t="s">
        <v>61</v>
      </c>
      <c r="M19" s="160"/>
      <c r="N19" s="161">
        <v>11162</v>
      </c>
      <c r="O19" s="161">
        <v>11888</v>
      </c>
      <c r="P19" s="176">
        <v>12519</v>
      </c>
    </row>
    <row r="20" spans="2:16" ht="12.75" thickBot="1">
      <c r="B20" s="162" t="s">
        <v>12</v>
      </c>
      <c r="C20" s="163"/>
      <c r="D20" s="54">
        <f>Ayuda!D24</f>
        <v>0</v>
      </c>
      <c r="I20" s="1"/>
      <c r="J20" s="1"/>
      <c r="L20" s="177"/>
      <c r="M20" s="178"/>
      <c r="N20" s="179"/>
      <c r="O20" s="179"/>
      <c r="P20" s="180"/>
    </row>
    <row r="21" spans="2:10" ht="12.75" thickBot="1">
      <c r="B21" s="162" t="s">
        <v>44</v>
      </c>
      <c r="C21" s="163"/>
      <c r="D21" s="54">
        <f>Ayuda!D32</f>
        <v>0</v>
      </c>
      <c r="I21" s="1"/>
      <c r="J21" s="1"/>
    </row>
    <row r="22" spans="2:10" ht="12.75" thickBot="1">
      <c r="B22" s="149"/>
      <c r="C22" s="150"/>
      <c r="D22" s="13"/>
      <c r="G22" s="151" t="s">
        <v>13</v>
      </c>
      <c r="H22" s="152"/>
      <c r="I22" s="1"/>
      <c r="J22" s="1"/>
    </row>
    <row r="23" spans="2:17" ht="12.75" thickBot="1">
      <c r="B23" s="155" t="s">
        <v>47</v>
      </c>
      <c r="C23" s="156"/>
      <c r="D23" s="37">
        <f>SUM(D18:D21)</f>
        <v>5550</v>
      </c>
      <c r="G23" s="32">
        <f>F24-F25</f>
        <v>5550</v>
      </c>
      <c r="H23" s="17">
        <f>G23*I15</f>
        <v>1054.5</v>
      </c>
      <c r="I23" s="1"/>
      <c r="J23" s="1"/>
      <c r="L23" s="172" t="s">
        <v>65</v>
      </c>
      <c r="M23" s="173"/>
      <c r="N23" s="173"/>
      <c r="O23" s="173"/>
      <c r="P23" s="71" t="s">
        <v>67</v>
      </c>
      <c r="Q23" s="72" t="s">
        <v>66</v>
      </c>
    </row>
    <row r="24" spans="6:17" ht="12.75" thickBot="1">
      <c r="F24" s="1">
        <f>IF((D$23-G15)&lt;0,0,(D$23-G15))</f>
        <v>5550</v>
      </c>
      <c r="G24" s="33">
        <f>F25-F26</f>
        <v>0</v>
      </c>
      <c r="H24" s="16">
        <f>G24*I16</f>
        <v>0</v>
      </c>
      <c r="I24" s="1"/>
      <c r="J24" s="1"/>
      <c r="L24" s="174"/>
      <c r="M24" s="175"/>
      <c r="N24" s="175"/>
      <c r="O24" s="175"/>
      <c r="P24" s="12" t="s">
        <v>75</v>
      </c>
      <c r="Q24" s="76" t="s">
        <v>75</v>
      </c>
    </row>
    <row r="25" spans="2:17" ht="12">
      <c r="B25" s="153" t="s">
        <v>23</v>
      </c>
      <c r="C25" s="154"/>
      <c r="D25" s="53">
        <f>2000</f>
        <v>2000</v>
      </c>
      <c r="F25" s="1">
        <f>IF((D$23-G16)&lt;0,0,(D$23-G16))</f>
        <v>0</v>
      </c>
      <c r="G25" s="33">
        <f>F26-F27</f>
        <v>0</v>
      </c>
      <c r="H25" s="16">
        <f>G25*I17</f>
        <v>0</v>
      </c>
      <c r="I25" s="1"/>
      <c r="J25" s="1"/>
      <c r="L25" s="147" t="s">
        <v>68</v>
      </c>
      <c r="M25" s="148"/>
      <c r="N25" s="148"/>
      <c r="O25" s="148"/>
      <c r="P25" s="96">
        <v>1152.79</v>
      </c>
      <c r="Q25" s="97">
        <v>3751.26</v>
      </c>
    </row>
    <row r="26" spans="2:17" ht="12">
      <c r="B26" s="162" t="s">
        <v>1</v>
      </c>
      <c r="C26" s="163"/>
      <c r="D26" s="16">
        <f>IF(D16&lt;12*Q36,IF(D16&gt;12*P36,(D33)*D16,D33*12*P36),(D33)*12*Q36)</f>
        <v>1524</v>
      </c>
      <c r="F26" s="1">
        <f>IF((D$23-G17)&lt;0,0,(D$23-G17))</f>
        <v>0</v>
      </c>
      <c r="G26" s="33">
        <f>F27-F28</f>
        <v>0</v>
      </c>
      <c r="H26" s="16">
        <f>G26*I18</f>
        <v>0</v>
      </c>
      <c r="I26" s="1"/>
      <c r="J26" s="1"/>
      <c r="L26" s="74" t="s">
        <v>69</v>
      </c>
      <c r="M26" s="75"/>
      <c r="N26" s="75"/>
      <c r="O26" s="75"/>
      <c r="P26" s="92">
        <v>956.12</v>
      </c>
      <c r="Q26" s="93">
        <v>3751.26</v>
      </c>
    </row>
    <row r="27" spans="2:17" ht="12">
      <c r="B27" s="162" t="s">
        <v>24</v>
      </c>
      <c r="C27" s="163"/>
      <c r="D27" s="54">
        <f>Ayuda!D46</f>
        <v>0</v>
      </c>
      <c r="F27" s="1">
        <f>IF((D$23-G18)&lt;0,0,(D$23-G18))</f>
        <v>0</v>
      </c>
      <c r="G27" s="33">
        <f>F28</f>
        <v>0</v>
      </c>
      <c r="H27" s="16">
        <f>G27*I19</f>
        <v>0</v>
      </c>
      <c r="L27" s="145" t="s">
        <v>70</v>
      </c>
      <c r="M27" s="146"/>
      <c r="N27" s="146"/>
      <c r="O27" s="146"/>
      <c r="P27" s="92">
        <v>831.71</v>
      </c>
      <c r="Q27" s="93">
        <v>3751.26</v>
      </c>
    </row>
    <row r="28" spans="2:17" ht="12.75" thickBot="1">
      <c r="B28" s="149"/>
      <c r="C28" s="150"/>
      <c r="D28" s="13"/>
      <c r="F28" s="1">
        <f>IF((D$23-G19)&lt;0,0,(D$23-G19))</f>
        <v>0</v>
      </c>
      <c r="G28" s="34" t="s">
        <v>0</v>
      </c>
      <c r="H28" s="18">
        <f>SUM(H23:H27)</f>
        <v>1054.5</v>
      </c>
      <c r="I28" s="1"/>
      <c r="J28" s="1"/>
      <c r="L28" s="145" t="s">
        <v>71</v>
      </c>
      <c r="M28" s="146"/>
      <c r="N28" s="146"/>
      <c r="O28" s="146"/>
      <c r="P28" s="92">
        <v>825.55</v>
      </c>
      <c r="Q28" s="93">
        <v>3751.26</v>
      </c>
    </row>
    <row r="29" spans="2:17" ht="12">
      <c r="B29" s="166" t="s">
        <v>2</v>
      </c>
      <c r="C29" s="167"/>
      <c r="D29" s="17">
        <f>SUM(D25:D27)</f>
        <v>3524</v>
      </c>
      <c r="I29" s="1"/>
      <c r="J29" s="1"/>
      <c r="L29" s="145" t="s">
        <v>72</v>
      </c>
      <c r="M29" s="146"/>
      <c r="N29" s="146"/>
      <c r="O29" s="146"/>
      <c r="P29" s="92">
        <v>825.55</v>
      </c>
      <c r="Q29" s="93">
        <v>3751.26</v>
      </c>
    </row>
    <row r="30" spans="2:17" ht="12.75" thickBot="1">
      <c r="B30" s="164" t="s">
        <v>3</v>
      </c>
      <c r="C30" s="165"/>
      <c r="D30" s="18">
        <f>D16-D29</f>
        <v>20476</v>
      </c>
      <c r="I30" s="1"/>
      <c r="J30" s="1"/>
      <c r="L30" s="145" t="s">
        <v>73</v>
      </c>
      <c r="M30" s="146"/>
      <c r="N30" s="146"/>
      <c r="O30" s="146"/>
      <c r="P30" s="92">
        <v>825.55</v>
      </c>
      <c r="Q30" s="93">
        <v>3751.26</v>
      </c>
    </row>
    <row r="31" spans="7:17" ht="12.75" thickBot="1">
      <c r="G31" s="151" t="s">
        <v>14</v>
      </c>
      <c r="H31" s="152"/>
      <c r="I31" s="1"/>
      <c r="J31" s="1"/>
      <c r="L31" s="170" t="s">
        <v>74</v>
      </c>
      <c r="M31" s="171"/>
      <c r="N31" s="171"/>
      <c r="O31" s="171"/>
      <c r="P31" s="94">
        <v>825.55</v>
      </c>
      <c r="Q31" s="95">
        <v>3751.26</v>
      </c>
    </row>
    <row r="32" spans="2:10" ht="12">
      <c r="B32" s="153" t="s">
        <v>6</v>
      </c>
      <c r="C32" s="154"/>
      <c r="D32" s="20">
        <f>I41</f>
        <v>0.135575</v>
      </c>
      <c r="G32" s="32">
        <f>F33-F34</f>
        <v>12450</v>
      </c>
      <c r="H32" s="17">
        <f>G32*I15</f>
        <v>2365.5</v>
      </c>
      <c r="I32" s="1"/>
      <c r="J32" s="1"/>
    </row>
    <row r="33" spans="2:10" ht="12.75" thickBot="1">
      <c r="B33" s="162" t="s">
        <v>48</v>
      </c>
      <c r="C33" s="163"/>
      <c r="D33" s="28">
        <f>Q41</f>
        <v>0.0635</v>
      </c>
      <c r="F33" s="1">
        <f>IF((D$30-G15)&lt;0,0,(D$30-G15))</f>
        <v>20476</v>
      </c>
      <c r="G33" s="33">
        <f>F34-F35</f>
        <v>7750</v>
      </c>
      <c r="H33" s="16">
        <f>G33*I16</f>
        <v>1860</v>
      </c>
      <c r="I33" s="1"/>
      <c r="J33" s="1"/>
    </row>
    <row r="34" spans="2:17" ht="12.75" thickBot="1">
      <c r="B34" s="149"/>
      <c r="C34" s="150"/>
      <c r="D34" s="19"/>
      <c r="F34" s="1">
        <f>IF((D$30-G16)&lt;0,0,(D$30-G16))</f>
        <v>8026</v>
      </c>
      <c r="G34" s="33">
        <f>F35-F36</f>
        <v>276</v>
      </c>
      <c r="H34" s="16">
        <f>G34*I17</f>
        <v>82.8</v>
      </c>
      <c r="I34" s="5"/>
      <c r="J34" s="5"/>
      <c r="L34" s="131" t="s">
        <v>81</v>
      </c>
      <c r="M34" s="132"/>
      <c r="N34" s="132"/>
      <c r="O34" s="132"/>
      <c r="P34" s="71" t="s">
        <v>67</v>
      </c>
      <c r="Q34" s="72" t="s">
        <v>66</v>
      </c>
    </row>
    <row r="35" spans="2:17" ht="12.75" thickBot="1">
      <c r="B35" s="155" t="s">
        <v>7</v>
      </c>
      <c r="C35" s="156"/>
      <c r="D35" s="38">
        <f>SUM(D32:D33)</f>
        <v>0.199075</v>
      </c>
      <c r="F35" s="1">
        <f>IF((D$30-G17)&lt;0,0,(D$30-G17))</f>
        <v>276</v>
      </c>
      <c r="G35" s="33">
        <f>F36-F37</f>
        <v>0</v>
      </c>
      <c r="H35" s="16">
        <f>G35*I18</f>
        <v>0</v>
      </c>
      <c r="L35" s="133"/>
      <c r="M35" s="134"/>
      <c r="N35" s="134"/>
      <c r="O35" s="134"/>
      <c r="P35" s="12" t="s">
        <v>75</v>
      </c>
      <c r="Q35" s="76" t="s">
        <v>75</v>
      </c>
    </row>
    <row r="36" spans="6:17" ht="12.75" thickBot="1">
      <c r="F36" s="1">
        <f>IF((D$30-G18)&lt;0,0,(D$30-G18))</f>
        <v>0</v>
      </c>
      <c r="G36" s="33">
        <f>F37</f>
        <v>0</v>
      </c>
      <c r="H36" s="16">
        <f>G36*I19</f>
        <v>0</v>
      </c>
      <c r="L36" s="135"/>
      <c r="M36" s="136"/>
      <c r="N36" s="136"/>
      <c r="O36" s="137"/>
      <c r="P36" s="98">
        <v>1152.79</v>
      </c>
      <c r="Q36" s="99">
        <v>3751.26</v>
      </c>
    </row>
    <row r="37" spans="2:8" ht="12.75" thickBot="1">
      <c r="B37" s="153" t="s">
        <v>21</v>
      </c>
      <c r="C37" s="154"/>
      <c r="D37" s="21">
        <f>IF(D$16&lt;12*Q36,(((1-D$35))*D13)/14-(1/72)*D26,(((1-F41))*D13)/14-(1/72)*D26)</f>
        <v>1351.847619047619</v>
      </c>
      <c r="F37" s="1">
        <f>IF((D$30-G19)&lt;0,0,(D$30-G19))</f>
        <v>0</v>
      </c>
      <c r="G37" s="34" t="s">
        <v>0</v>
      </c>
      <c r="H37" s="18">
        <f>SUM(H32:H36)</f>
        <v>4308.3</v>
      </c>
    </row>
    <row r="38" spans="2:4" ht="12.75" thickBot="1">
      <c r="B38" s="162" t="s">
        <v>64</v>
      </c>
      <c r="C38" s="163"/>
      <c r="D38" s="22">
        <f>IF(D$16&lt;12*Q36,(((1-D$35))*D13)/14+(1/12)*D26,(((1-F$41))*D13)/14+(1/12)*D26)</f>
        <v>1500.0142857142857</v>
      </c>
    </row>
    <row r="39" spans="2:17" ht="12.75" thickBot="1">
      <c r="B39" s="162" t="s">
        <v>18</v>
      </c>
      <c r="C39" s="163"/>
      <c r="D39" s="22">
        <f>IF(D$16&lt;12*Q36,(((1-D$35))*D14),(((1-F41))*D14))</f>
        <v>0</v>
      </c>
      <c r="L39" s="142" t="s">
        <v>79</v>
      </c>
      <c r="M39" s="143"/>
      <c r="N39" s="143"/>
      <c r="O39" s="143"/>
      <c r="P39" s="143"/>
      <c r="Q39" s="144"/>
    </row>
    <row r="40" spans="2:17" ht="12.75" thickBot="1">
      <c r="B40" s="162" t="s">
        <v>49</v>
      </c>
      <c r="C40" s="163"/>
      <c r="D40" s="15">
        <v>0</v>
      </c>
      <c r="F40" s="1">
        <f>D26+H41</f>
        <v>4777.8</v>
      </c>
      <c r="G40" s="129" t="s">
        <v>20</v>
      </c>
      <c r="H40" s="130"/>
      <c r="I40" s="10" t="s">
        <v>6</v>
      </c>
      <c r="J40" s="115"/>
      <c r="L40" s="140" t="s">
        <v>76</v>
      </c>
      <c r="M40" s="141"/>
      <c r="N40" s="12" t="s">
        <v>78</v>
      </c>
      <c r="O40" s="12" t="s">
        <v>99</v>
      </c>
      <c r="P40" s="12" t="s">
        <v>77</v>
      </c>
      <c r="Q40" s="76" t="s">
        <v>0</v>
      </c>
    </row>
    <row r="41" spans="2:17" ht="12.75" thickBot="1">
      <c r="B41" s="183"/>
      <c r="C41" s="184"/>
      <c r="D41" s="9"/>
      <c r="F41" s="73">
        <f>F40/D16</f>
        <v>0.199075</v>
      </c>
      <c r="G41" s="35" t="s">
        <v>0</v>
      </c>
      <c r="H41" s="36">
        <f>H37-H28</f>
        <v>3253.8</v>
      </c>
      <c r="I41" s="90">
        <f>IF(H41&gt;0,(H41/D16),0)</f>
        <v>0.135575</v>
      </c>
      <c r="J41" s="120"/>
      <c r="K41" s="118" t="s">
        <v>95</v>
      </c>
      <c r="L41" s="194">
        <v>0.047</v>
      </c>
      <c r="M41" s="195"/>
      <c r="N41" s="111">
        <v>0.0155</v>
      </c>
      <c r="O41" s="111">
        <v>0</v>
      </c>
      <c r="P41" s="110">
        <v>0.001</v>
      </c>
      <c r="Q41" s="77">
        <f>SUM(L41:P41)</f>
        <v>0.0635</v>
      </c>
    </row>
    <row r="42" spans="2:17" ht="12.75" thickBot="1">
      <c r="B42" s="181" t="s">
        <v>8</v>
      </c>
      <c r="C42" s="182"/>
      <c r="D42" s="39">
        <f>12*D37+2*D38+D39+D40</f>
        <v>19222.2</v>
      </c>
      <c r="I42" s="1"/>
      <c r="J42" s="1"/>
      <c r="K42" s="119" t="s">
        <v>96</v>
      </c>
      <c r="L42" s="121">
        <v>0.236</v>
      </c>
      <c r="M42" s="122"/>
      <c r="N42" s="103">
        <v>0.055</v>
      </c>
      <c r="O42" s="103">
        <v>0.002</v>
      </c>
      <c r="P42" s="103">
        <v>0.006</v>
      </c>
      <c r="Q42" s="102">
        <f>SUM(L42:P42)</f>
        <v>0.299</v>
      </c>
    </row>
    <row r="43" spans="2:17" ht="12">
      <c r="B43" s="112"/>
      <c r="C43" s="112"/>
      <c r="D43" s="113"/>
      <c r="I43" s="1"/>
      <c r="J43" s="1"/>
      <c r="L43" s="105"/>
      <c r="M43" s="105"/>
      <c r="N43" s="105"/>
      <c r="O43" s="105"/>
      <c r="P43" s="105"/>
      <c r="Q43" s="106"/>
    </row>
    <row r="44" spans="9:10" ht="12.75" thickBot="1">
      <c r="I44" s="1"/>
      <c r="J44" s="1"/>
    </row>
    <row r="45" spans="2:10" ht="12.75" thickBot="1">
      <c r="B45" s="125" t="s">
        <v>98</v>
      </c>
      <c r="C45" s="126"/>
      <c r="D45" s="108">
        <f>D15*Q44</f>
        <v>0</v>
      </c>
      <c r="I45" s="1"/>
      <c r="J45" s="1"/>
    </row>
    <row r="46" spans="2:10" ht="12.75" thickBot="1">
      <c r="B46" s="127" t="s">
        <v>100</v>
      </c>
      <c r="C46" s="128"/>
      <c r="D46" s="108">
        <f>D16*L44</f>
        <v>0</v>
      </c>
      <c r="I46" s="1"/>
      <c r="J46" s="1"/>
    </row>
    <row r="47" spans="2:10" ht="12.75" thickBot="1">
      <c r="B47" s="123" t="s">
        <v>97</v>
      </c>
      <c r="C47" s="124"/>
      <c r="D47" s="109">
        <f>D16+D45+D46</f>
        <v>24000</v>
      </c>
      <c r="I47" s="1"/>
      <c r="J47" s="1"/>
    </row>
    <row r="48" spans="9:10" ht="12">
      <c r="I48" s="1"/>
      <c r="J48" s="1"/>
    </row>
    <row r="49" spans="1:6" s="88" customFormat="1" ht="16.5" customHeight="1">
      <c r="A49" s="86" t="s">
        <v>22</v>
      </c>
      <c r="B49" s="87"/>
      <c r="C49" s="87"/>
      <c r="D49" s="87"/>
      <c r="E49" s="87"/>
      <c r="F49" s="87"/>
    </row>
    <row r="50" spans="1:6" s="88" customFormat="1" ht="16.5" customHeight="1">
      <c r="A50" s="86" t="s">
        <v>80</v>
      </c>
      <c r="B50" s="87"/>
      <c r="C50" s="87"/>
      <c r="D50" s="87"/>
      <c r="E50" s="87"/>
      <c r="F50" s="87"/>
    </row>
    <row r="51" spans="1:6" s="88" customFormat="1" ht="16.5" customHeight="1">
      <c r="A51" s="86" t="s">
        <v>50</v>
      </c>
      <c r="B51" s="87"/>
      <c r="C51" s="87"/>
      <c r="D51" s="87"/>
      <c r="E51" s="87"/>
      <c r="F51" s="87"/>
    </row>
  </sheetData>
  <sheetProtection/>
  <mergeCells count="61">
    <mergeCell ref="B16:C16"/>
    <mergeCell ref="O17:O18"/>
    <mergeCell ref="P17:P18"/>
    <mergeCell ref="O15:O16"/>
    <mergeCell ref="B18:C18"/>
    <mergeCell ref="B15:C15"/>
    <mergeCell ref="L15:M16"/>
    <mergeCell ref="N15:N16"/>
    <mergeCell ref="L17:M18"/>
    <mergeCell ref="N19:N20"/>
    <mergeCell ref="O19:O20"/>
    <mergeCell ref="A6:P7"/>
    <mergeCell ref="B13:C13"/>
    <mergeCell ref="G13:I13"/>
    <mergeCell ref="L13:M14"/>
    <mergeCell ref="N13:P13"/>
    <mergeCell ref="B14:C14"/>
    <mergeCell ref="A8:P9"/>
    <mergeCell ref="P15:P16"/>
    <mergeCell ref="B22:C22"/>
    <mergeCell ref="B23:C23"/>
    <mergeCell ref="B25:C25"/>
    <mergeCell ref="B26:C26"/>
    <mergeCell ref="N17:N18"/>
    <mergeCell ref="P19:P20"/>
    <mergeCell ref="B20:C20"/>
    <mergeCell ref="B21:C21"/>
    <mergeCell ref="B19:C19"/>
    <mergeCell ref="L19:M20"/>
    <mergeCell ref="B27:C27"/>
    <mergeCell ref="B28:C28"/>
    <mergeCell ref="B29:C29"/>
    <mergeCell ref="B40:C40"/>
    <mergeCell ref="B30:C30"/>
    <mergeCell ref="B32:C32"/>
    <mergeCell ref="B33:C33"/>
    <mergeCell ref="B34:C34"/>
    <mergeCell ref="B42:C42"/>
    <mergeCell ref="B38:C38"/>
    <mergeCell ref="B35:C35"/>
    <mergeCell ref="B37:C37"/>
    <mergeCell ref="B39:C39"/>
    <mergeCell ref="B41:C41"/>
    <mergeCell ref="L28:O28"/>
    <mergeCell ref="L29:O29"/>
    <mergeCell ref="L30:O30"/>
    <mergeCell ref="L31:O31"/>
    <mergeCell ref="L41:M41"/>
    <mergeCell ref="G40:H40"/>
    <mergeCell ref="L39:Q39"/>
    <mergeCell ref="L40:M40"/>
    <mergeCell ref="B47:C47"/>
    <mergeCell ref="B45:C45"/>
    <mergeCell ref="B46:C46"/>
    <mergeCell ref="L42:M42"/>
    <mergeCell ref="L34:O36"/>
    <mergeCell ref="G22:H22"/>
    <mergeCell ref="G31:H31"/>
    <mergeCell ref="L23:O24"/>
    <mergeCell ref="L25:O25"/>
    <mergeCell ref="L27:O27"/>
  </mergeCells>
  <printOptions/>
  <pageMargins left="0.75" right="0.75" top="1" bottom="1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B55" sqref="B55"/>
    </sheetView>
  </sheetViews>
  <sheetFormatPr defaultColWidth="11.421875" defaultRowHeight="12.75"/>
  <cols>
    <col min="2" max="2" width="39.28125" style="0" customWidth="1"/>
    <col min="3" max="3" width="5.140625" style="40" customWidth="1"/>
    <col min="4" max="4" width="13.00390625" style="0" bestFit="1" customWidth="1"/>
  </cols>
  <sheetData>
    <row r="1" spans="1:14" s="7" customFormat="1" ht="18">
      <c r="A1" s="6" t="s">
        <v>90</v>
      </c>
      <c r="N1" s="8"/>
    </row>
    <row r="2" s="8" customFormat="1" ht="12">
      <c r="C2" s="68"/>
    </row>
    <row r="3" spans="1:3" s="82" customFormat="1" ht="16.5" customHeight="1">
      <c r="A3" s="82" t="s">
        <v>83</v>
      </c>
      <c r="C3" s="89"/>
    </row>
    <row r="4" spans="1:3" s="82" customFormat="1" ht="16.5" customHeight="1">
      <c r="A4" s="91" t="s">
        <v>94</v>
      </c>
      <c r="C4" s="89"/>
    </row>
    <row r="5" ht="12.75" thickBot="1"/>
    <row r="6" spans="2:4" ht="12">
      <c r="B6" s="166" t="s">
        <v>27</v>
      </c>
      <c r="C6" s="167"/>
      <c r="D6" s="63">
        <f>SUM(D8:D9)</f>
        <v>0</v>
      </c>
    </row>
    <row r="7" spans="2:4" ht="12.75" thickBot="1">
      <c r="B7" s="47" t="s">
        <v>28</v>
      </c>
      <c r="C7" s="52">
        <v>34</v>
      </c>
      <c r="D7" s="48" t="s">
        <v>29</v>
      </c>
    </row>
    <row r="8" spans="2:4" ht="12" hidden="1">
      <c r="B8" s="41"/>
      <c r="C8" s="45"/>
      <c r="D8" s="43">
        <f>IF(AND(C7&gt;65,C7&lt;76),918,0)</f>
        <v>0</v>
      </c>
    </row>
    <row r="9" spans="2:4" ht="12" hidden="1">
      <c r="B9" s="41"/>
      <c r="C9" s="45"/>
      <c r="D9" s="43">
        <f>IF(C7&gt;75,2040,0)</f>
        <v>0</v>
      </c>
    </row>
    <row r="10" spans="2:4" ht="12" hidden="1">
      <c r="B10" s="41"/>
      <c r="C10" s="45"/>
      <c r="D10" s="43"/>
    </row>
    <row r="11" spans="2:4" ht="12.75" hidden="1" thickBot="1">
      <c r="B11" s="42"/>
      <c r="C11" s="46"/>
      <c r="D11" s="44"/>
    </row>
    <row r="12" ht="12.75" thickBot="1"/>
    <row r="13" spans="2:4" ht="12">
      <c r="B13" s="166" t="s">
        <v>11</v>
      </c>
      <c r="C13" s="167"/>
      <c r="D13" s="63">
        <f>IF(C22="no",(SUM(D16:D19)+D21)/2,SUM(D16:D19)+D21)</f>
        <v>0</v>
      </c>
    </row>
    <row r="14" spans="2:4" ht="24">
      <c r="B14" s="78" t="s">
        <v>32</v>
      </c>
      <c r="C14" s="49">
        <v>0</v>
      </c>
      <c r="D14" s="58" t="s">
        <v>30</v>
      </c>
    </row>
    <row r="15" spans="2:4" ht="36">
      <c r="B15" s="79" t="s">
        <v>54</v>
      </c>
      <c r="C15" s="50">
        <v>0</v>
      </c>
      <c r="D15" s="43" t="s">
        <v>30</v>
      </c>
    </row>
    <row r="16" spans="2:4" ht="12" hidden="1">
      <c r="B16" s="41"/>
      <c r="C16" s="50"/>
      <c r="D16" s="43">
        <f>IF(C14+C15=1,2400,0)</f>
        <v>0</v>
      </c>
    </row>
    <row r="17" spans="2:4" ht="12" hidden="1">
      <c r="B17" s="41"/>
      <c r="C17" s="50"/>
      <c r="D17" s="43">
        <f>IF(C14+C15=2,5100,0)</f>
        <v>0</v>
      </c>
    </row>
    <row r="18" spans="2:4" ht="12" hidden="1">
      <c r="B18" s="41"/>
      <c r="C18" s="50"/>
      <c r="D18" s="43">
        <f>IF(C14+C15=3,9100,0)</f>
        <v>0</v>
      </c>
    </row>
    <row r="19" spans="2:4" ht="12" hidden="1">
      <c r="B19" s="41"/>
      <c r="C19" s="50"/>
      <c r="D19" s="60">
        <f>IF(C14+C15&gt;3,(9100+(C14+C15-3)*4500),0)</f>
        <v>0</v>
      </c>
    </row>
    <row r="20" spans="2:4" ht="24.75" thickBot="1">
      <c r="B20" s="57" t="s">
        <v>33</v>
      </c>
      <c r="C20" s="51">
        <v>0</v>
      </c>
      <c r="D20" s="44" t="s">
        <v>30</v>
      </c>
    </row>
    <row r="21" spans="2:4" ht="13.5" customHeight="1" hidden="1" thickBot="1">
      <c r="B21" s="42"/>
      <c r="C21" s="51"/>
      <c r="D21" s="56">
        <f>IF(C20&gt;0,C20*2800,0)</f>
        <v>0</v>
      </c>
    </row>
    <row r="22" spans="2:3" ht="24.75" thickBot="1">
      <c r="B22" s="61" t="s">
        <v>51</v>
      </c>
      <c r="C22" s="62" t="s">
        <v>25</v>
      </c>
    </row>
    <row r="23" ht="12.75" thickBot="1"/>
    <row r="24" spans="2:4" ht="12">
      <c r="B24" s="166" t="s">
        <v>37</v>
      </c>
      <c r="C24" s="167"/>
      <c r="D24" s="63">
        <f>IF(C30=0,0,(D28+D29)/(C30))</f>
        <v>0</v>
      </c>
    </row>
    <row r="25" spans="2:4" ht="36">
      <c r="B25" s="78" t="s">
        <v>34</v>
      </c>
      <c r="C25" s="49">
        <v>0</v>
      </c>
      <c r="D25" s="58" t="s">
        <v>31</v>
      </c>
    </row>
    <row r="26" spans="2:4" ht="36">
      <c r="B26" s="79" t="s">
        <v>35</v>
      </c>
      <c r="C26" s="50">
        <v>0</v>
      </c>
      <c r="D26" s="43" t="s">
        <v>31</v>
      </c>
    </row>
    <row r="27" spans="2:4" ht="36.75" thickBot="1">
      <c r="B27" s="79" t="s">
        <v>36</v>
      </c>
      <c r="C27" s="50">
        <v>0</v>
      </c>
      <c r="D27" s="56" t="s">
        <v>31</v>
      </c>
    </row>
    <row r="28" spans="2:4" ht="12" hidden="1">
      <c r="B28" s="41"/>
      <c r="C28" s="50"/>
      <c r="D28" s="43">
        <f>IF(C25+C27&gt;0,1150*(C25+C27),0)</f>
        <v>0</v>
      </c>
    </row>
    <row r="29" spans="2:4" ht="12.75" hidden="1" thickBot="1">
      <c r="B29" s="41"/>
      <c r="C29" s="50"/>
      <c r="D29" s="56">
        <f>IF(C26&gt;0,2550*C26,0)</f>
        <v>0</v>
      </c>
    </row>
    <row r="30" spans="2:3" ht="24.75" thickBot="1">
      <c r="B30" s="61" t="s">
        <v>84</v>
      </c>
      <c r="C30" s="62">
        <v>0</v>
      </c>
    </row>
    <row r="31" ht="12.75" thickBot="1"/>
    <row r="32" spans="2:4" ht="12">
      <c r="B32" s="166" t="s">
        <v>43</v>
      </c>
      <c r="C32" s="167"/>
      <c r="D32" s="63">
        <f>SUM(D41:D44)</f>
        <v>0</v>
      </c>
    </row>
    <row r="33" spans="2:4" ht="24">
      <c r="B33" s="78" t="s">
        <v>38</v>
      </c>
      <c r="C33" s="49">
        <v>0</v>
      </c>
      <c r="D33" s="58" t="s">
        <v>42</v>
      </c>
    </row>
    <row r="34" spans="2:4" ht="24">
      <c r="B34" s="79" t="s">
        <v>39</v>
      </c>
      <c r="C34" s="50">
        <v>0</v>
      </c>
      <c r="D34" s="60" t="s">
        <v>42</v>
      </c>
    </row>
    <row r="35" spans="2:4" ht="24">
      <c r="B35" s="79" t="s">
        <v>40</v>
      </c>
      <c r="C35" s="50">
        <v>0</v>
      </c>
      <c r="D35" s="60" t="s">
        <v>31</v>
      </c>
    </row>
    <row r="36" spans="2:4" ht="24.75" thickBot="1">
      <c r="B36" s="80" t="s">
        <v>41</v>
      </c>
      <c r="C36" s="51">
        <v>0</v>
      </c>
      <c r="D36" s="44" t="s">
        <v>31</v>
      </c>
    </row>
    <row r="37" spans="2:4" ht="12" hidden="1">
      <c r="B37" s="55"/>
      <c r="C37" s="50"/>
      <c r="D37" s="43">
        <f>C33*2316*1.29</f>
        <v>0</v>
      </c>
    </row>
    <row r="38" spans="2:4" ht="12" hidden="1">
      <c r="B38" s="55"/>
      <c r="C38" s="50"/>
      <c r="D38" s="43">
        <f>C34*(7038)*1.29</f>
        <v>0</v>
      </c>
    </row>
    <row r="39" spans="2:4" ht="12" hidden="1">
      <c r="B39" s="55"/>
      <c r="C39" s="50"/>
      <c r="D39" s="43">
        <f>C35*2316*1.29</f>
        <v>0</v>
      </c>
    </row>
    <row r="40" spans="2:4" ht="12.75" hidden="1" thickBot="1">
      <c r="B40" s="42"/>
      <c r="C40" s="51"/>
      <c r="D40" s="56">
        <f>C36*(7038)*1.29</f>
        <v>0</v>
      </c>
    </row>
    <row r="41" spans="2:4" ht="12" hidden="1">
      <c r="B41" s="64"/>
      <c r="C41" s="65"/>
      <c r="D41" s="66">
        <f>IF(C22="No",(D37+D38)/2,D37+D38)</f>
        <v>0</v>
      </c>
    </row>
    <row r="42" spans="2:4" ht="12" hidden="1">
      <c r="B42" s="67"/>
      <c r="C42" s="50"/>
      <c r="D42" s="60">
        <f>IF(C30=0,0,(D39+D40)/(C30))</f>
        <v>0</v>
      </c>
    </row>
    <row r="43" spans="1:4" ht="12" hidden="1">
      <c r="A43" s="59"/>
      <c r="B43" s="67"/>
      <c r="C43" s="50"/>
      <c r="D43" s="60">
        <f>IF(C47="no",0,2316*1.29)</f>
        <v>0</v>
      </c>
    </row>
    <row r="44" spans="1:4" ht="12.75" hidden="1" thickBot="1">
      <c r="A44" s="59"/>
      <c r="B44" s="57"/>
      <c r="C44" s="51"/>
      <c r="D44" s="56">
        <f>IF(C48="No",0,7038*1.29)</f>
        <v>0</v>
      </c>
    </row>
    <row r="45" ht="12.75" thickBot="1"/>
    <row r="46" spans="2:4" ht="12">
      <c r="B46" s="166" t="s">
        <v>24</v>
      </c>
      <c r="C46" s="167"/>
      <c r="D46" s="63">
        <f>SUM(D47:D51)</f>
        <v>0</v>
      </c>
    </row>
    <row r="47" spans="2:4" ht="12">
      <c r="B47" s="41" t="s">
        <v>86</v>
      </c>
      <c r="C47" s="49" t="s">
        <v>25</v>
      </c>
      <c r="D47" s="43">
        <f>IF(C47="SI",3246,0)</f>
        <v>0</v>
      </c>
    </row>
    <row r="48" spans="2:4" ht="12">
      <c r="B48" s="41" t="s">
        <v>87</v>
      </c>
      <c r="C48" s="50" t="s">
        <v>25</v>
      </c>
      <c r="D48" s="43">
        <f>IF(C48="SI",7242,0)</f>
        <v>0</v>
      </c>
    </row>
    <row r="49" spans="2:4" ht="12">
      <c r="B49" s="41" t="s">
        <v>85</v>
      </c>
      <c r="C49" s="50" t="s">
        <v>25</v>
      </c>
      <c r="D49" s="43">
        <f>IF(C49="SI",600,0)</f>
        <v>0</v>
      </c>
    </row>
    <row r="50" spans="2:4" ht="12">
      <c r="B50" s="41" t="s">
        <v>26</v>
      </c>
      <c r="C50" s="50" t="s">
        <v>25</v>
      </c>
      <c r="D50" s="43">
        <f>IF(C50="SI",600,0)</f>
        <v>0</v>
      </c>
    </row>
    <row r="51" spans="2:4" ht="12.75" thickBot="1">
      <c r="B51" s="42" t="s">
        <v>88</v>
      </c>
      <c r="C51" s="51" t="s">
        <v>25</v>
      </c>
      <c r="D51" s="44">
        <f>IF(C51="SI",1200,0)</f>
        <v>0</v>
      </c>
    </row>
    <row r="53" spans="1:6" s="88" customFormat="1" ht="16.5" customHeight="1">
      <c r="A53" s="86" t="s">
        <v>52</v>
      </c>
      <c r="B53" s="87"/>
      <c r="C53" s="87"/>
      <c r="D53" s="87"/>
      <c r="E53" s="87"/>
      <c r="F53" s="87"/>
    </row>
    <row r="54" spans="1:6" s="88" customFormat="1" ht="16.5" customHeight="1">
      <c r="A54" s="86" t="s">
        <v>53</v>
      </c>
      <c r="B54" s="87"/>
      <c r="C54" s="87"/>
      <c r="D54" s="87"/>
      <c r="E54" s="87"/>
      <c r="F54" s="87"/>
    </row>
    <row r="55" spans="1:6" s="88" customFormat="1" ht="16.5" customHeight="1">
      <c r="A55" s="86" t="s">
        <v>55</v>
      </c>
      <c r="B55" s="87"/>
      <c r="C55" s="87"/>
      <c r="D55" s="87"/>
      <c r="E55" s="87"/>
      <c r="F55" s="87"/>
    </row>
    <row r="56" spans="1:6" s="88" customFormat="1" ht="16.5" customHeight="1">
      <c r="A56" s="86" t="s">
        <v>56</v>
      </c>
      <c r="B56" s="87"/>
      <c r="C56" s="87"/>
      <c r="D56" s="87"/>
      <c r="E56" s="87"/>
      <c r="F56" s="87"/>
    </row>
    <row r="58" spans="1:3" s="197" customFormat="1" ht="12">
      <c r="A58" s="196" t="s">
        <v>101</v>
      </c>
      <c r="C58" s="198"/>
    </row>
  </sheetData>
  <sheetProtection/>
  <mergeCells count="5">
    <mergeCell ref="B32:C32"/>
    <mergeCell ref="B46:C46"/>
    <mergeCell ref="B6:C6"/>
    <mergeCell ref="B13:C13"/>
    <mergeCell ref="B24:C24"/>
  </mergeCells>
  <printOptions/>
  <pageMargins left="0.75" right="0.75" top="1" bottom="1" header="0" footer="0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2012-02-15T15:37:44Z</dcterms:created>
  <dcterms:modified xsi:type="dcterms:W3CDTF">2017-11-21T09:01:33Z</dcterms:modified>
  <cp:category/>
  <cp:version/>
  <cp:contentType/>
  <cp:contentStatus/>
</cp:coreProperties>
</file>